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Website\Structural-Design-IS456\samples\"/>
    </mc:Choice>
  </mc:AlternateContent>
  <xr:revisionPtr revIDLastSave="0" documentId="13_ncr:1_{3D15E975-3A73-479F-85FC-8E1443FAC6A6}" xr6:coauthVersionLast="47" xr6:coauthVersionMax="47" xr10:uidLastSave="{00000000-0000-0000-0000-000000000000}"/>
  <bookViews>
    <workbookView xWindow="-108" yWindow="-108" windowWidth="23256" windowHeight="12456" xr2:uid="{EB9EBD4A-A0C3-4260-AFDA-FCB69EC13F9B}"/>
  </bookViews>
  <sheets>
    <sheet name="Read me" sheetId="4" r:id="rId1"/>
    <sheet name="Parameters" sheetId="1" r:id="rId2"/>
    <sheet name="ACI Beam SR" sheetId="2" r:id="rId3"/>
    <sheet name="Notes &amp; Reference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8" i="2" l="1"/>
  <c r="E106" i="2"/>
  <c r="E98" i="2"/>
  <c r="E95" i="2"/>
  <c r="E94" i="2"/>
  <c r="E86" i="2"/>
  <c r="E81" i="2"/>
  <c r="E80" i="2"/>
  <c r="E40" i="2"/>
  <c r="E41" i="2" s="1"/>
  <c r="E42" i="2" s="1"/>
  <c r="E35" i="2"/>
  <c r="E34" i="2"/>
  <c r="E32" i="2"/>
  <c r="E31" i="2"/>
  <c r="E65" i="2" s="1"/>
  <c r="E30" i="2"/>
  <c r="E27" i="2"/>
  <c r="E24" i="2"/>
  <c r="E64" i="2" s="1"/>
  <c r="E23" i="2"/>
  <c r="E22" i="2"/>
  <c r="E21" i="2"/>
  <c r="E97" i="2" s="1"/>
  <c r="E20" i="2"/>
  <c r="E35" i="1"/>
  <c r="D35" i="1"/>
  <c r="C35" i="1"/>
  <c r="F34" i="1"/>
  <c r="E34" i="1"/>
  <c r="D34" i="1"/>
  <c r="C34" i="1"/>
  <c r="E33" i="1"/>
  <c r="D33" i="1"/>
  <c r="C33" i="1"/>
  <c r="E32" i="1"/>
  <c r="D32" i="1"/>
  <c r="C32" i="1"/>
  <c r="F31" i="1"/>
  <c r="E31" i="1"/>
  <c r="D31" i="1"/>
  <c r="C31" i="1"/>
  <c r="E30" i="1"/>
  <c r="D30" i="1"/>
  <c r="C30" i="1"/>
  <c r="E29" i="1"/>
  <c r="D29" i="1"/>
  <c r="C29" i="1"/>
  <c r="F28" i="1"/>
  <c r="E28" i="1"/>
  <c r="D28" i="1"/>
  <c r="C28" i="1"/>
  <c r="E27" i="1"/>
  <c r="D27" i="1"/>
  <c r="C27" i="1"/>
  <c r="E6" i="1"/>
  <c r="F35" i="1" s="1"/>
  <c r="E25" i="2" l="1"/>
  <c r="E82" i="2"/>
  <c r="G82" i="2" s="1"/>
  <c r="E96" i="2"/>
  <c r="F33" i="1"/>
  <c r="F30" i="1"/>
  <c r="E33" i="2" s="1"/>
  <c r="F27" i="1"/>
  <c r="E51" i="2"/>
  <c r="E107" i="2"/>
  <c r="E70" i="2"/>
  <c r="E26" i="2"/>
  <c r="E43" i="2"/>
  <c r="E48" i="2" s="1"/>
  <c r="E49" i="2" s="1"/>
  <c r="E50" i="2" s="1"/>
  <c r="G52" i="2" s="1"/>
  <c r="E45" i="2"/>
  <c r="E44" i="2"/>
  <c r="E66" i="2"/>
  <c r="E72" i="2"/>
  <c r="E99" i="2"/>
  <c r="E59" i="2"/>
  <c r="G59" i="2" s="1"/>
  <c r="E87" i="2"/>
  <c r="E88" i="2" s="1"/>
  <c r="E89" i="2"/>
  <c r="E52" i="2"/>
  <c r="E109" i="2"/>
  <c r="F29" i="1"/>
  <c r="F32" i="1"/>
  <c r="E113" i="2" l="1"/>
  <c r="E100" i="2"/>
  <c r="E114" i="2" s="1"/>
  <c r="E69" i="2"/>
  <c r="E67" i="2"/>
  <c r="B68" i="2" s="1"/>
  <c r="E53" i="2"/>
  <c r="E54" i="2" s="1"/>
  <c r="E55" i="2" s="1"/>
  <c r="E110" i="2"/>
  <c r="E63" i="2"/>
  <c r="E57" i="2"/>
  <c r="G89" i="2"/>
  <c r="G55" i="2" l="1"/>
  <c r="E56" i="2"/>
  <c r="E58" i="2" s="1"/>
  <c r="E73" i="2"/>
  <c r="E71" i="2"/>
  <c r="G70" i="2"/>
  <c r="E74" i="2" l="1"/>
  <c r="E111" i="2" s="1"/>
  <c r="G58" i="2"/>
  <c r="E75" i="2" l="1"/>
  <c r="E76" i="2" s="1"/>
  <c r="G76" i="2" l="1"/>
  <c r="B103" i="2" s="1"/>
  <c r="E112" i="2"/>
</calcChain>
</file>

<file path=xl/sharedStrings.xml><?xml version="1.0" encoding="utf-8"?>
<sst xmlns="http://schemas.openxmlformats.org/spreadsheetml/2006/main" count="449" uniqueCount="365">
  <si>
    <t>ACI 318-19  —  Design Parameters, Factors and Material Data</t>
  </si>
  <si>
    <t>Every design sheet in this workbook reads its φ factors, load factors and material data from this tab. Change the concrete type in the yellow cell and all sheets update.</t>
  </si>
  <si>
    <t>1)  Concrete type and analysis constants</t>
  </si>
  <si>
    <t>Concrete type</t>
  </si>
  <si>
    <t>—</t>
  </si>
  <si>
    <t>Normalweight</t>
  </si>
  <si>
    <t>Sets λ. Lightweight concrete reduces every √f'c term in shear and development.</t>
  </si>
  <si>
    <t>Lightweight modification factor</t>
  </si>
  <si>
    <t>λ</t>
  </si>
  <si>
    <t>Table 19.2.4.1(a).  1.00 / 0.85 / 0.75.</t>
  </si>
  <si>
    <t>Unit weight of concrete</t>
  </si>
  <si>
    <t>wc</t>
  </si>
  <si>
    <t>lb/ft³</t>
  </si>
  <si>
    <t>Used for member self-weight.  Normalweight concrete is 145–150 lb/ft³.</t>
  </si>
  <si>
    <t>Modulus of elasticity of reinforcement</t>
  </si>
  <si>
    <t>Es</t>
  </si>
  <si>
    <t>psi</t>
  </si>
  <si>
    <t>20.2.2.2.</t>
  </si>
  <si>
    <t>Maximum concrete compressive strain</t>
  </si>
  <si>
    <t>εcu</t>
  </si>
  <si>
    <t>22.2.2.1.</t>
  </si>
  <si>
    <t>Equivalent stress-block intensity factor</t>
  </si>
  <si>
    <t>22.2.2.4.1 — the 0.85 in 0.85·f'c.</t>
  </si>
  <si>
    <t>2)  Strength reduction factors, φ (Table 21.2.1, Table 21.2.2)</t>
  </si>
  <si>
    <t>Flexure — tension-controlled</t>
  </si>
  <si>
    <t>φ</t>
  </si>
  <si>
    <t>εt ≥ εty + 0.003.  Table 21.2.2.</t>
  </si>
  <si>
    <t>Compression-controlled — ties</t>
  </si>
  <si>
    <t>εt ≤ εty, members with ties.  Table 21.2.2.</t>
  </si>
  <si>
    <t>Compression-controlled — spirals</t>
  </si>
  <si>
    <t>εt ≤ εty, members with spirals to 25.7.3.</t>
  </si>
  <si>
    <t>Shear and torsion</t>
  </si>
  <si>
    <t>φv</t>
  </si>
  <si>
    <t>Table 21.2.1(b), (c).</t>
  </si>
  <si>
    <t>Bearing on concrete</t>
  </si>
  <si>
    <t>φb</t>
  </si>
  <si>
    <t>Table 21.2.1(e).</t>
  </si>
  <si>
    <t>In the transition zone φ is interpolated:  φ = 0.65 + 0.25·(εt − εty)/0.003 for tied members  (Table 21.2.2).</t>
  </si>
  <si>
    <t>3)  Load factors (5.3.1)</t>
  </si>
  <si>
    <t>Dead load alone</t>
  </si>
  <si>
    <t>U = 1.4D  (5.3.1a).</t>
  </si>
  <si>
    <t>Dead load, with live load</t>
  </si>
  <si>
    <t>U = 1.2D + 1.6L + 0.5(Lr or S or R)  (5.3.1b).</t>
  </si>
  <si>
    <t>Live load</t>
  </si>
  <si>
    <t>Wind, seismic and snow combinations are outside the scope of these sheets.</t>
  </si>
  <si>
    <t>4)  Concrete properties — f'c in psi, Ec in ksi, fr in psi</t>
  </si>
  <si>
    <t>f'c</t>
  </si>
  <si>
    <t>β1</t>
  </si>
  <si>
    <t>√f'c</t>
  </si>
  <si>
    <t>Ec</t>
  </si>
  <si>
    <t>fr</t>
  </si>
  <si>
    <t>β1 from Table 22.2.2.4.3;  Ec = 57000·√f'c  (19.2.2.1b);  fr = 7.5·λ·√f'c  (19.2.3.1).</t>
  </si>
  <si>
    <t>β1 = 0.85 for f'c ≤ 4000 psi, reducing by 0.05 per 1000 psi above that, and never less than 0.65.</t>
  </si>
  <si>
    <t>5)  Specified concrete cover, cc (Table 20.5.1.3.1) — cast-in-place, non-prestressed</t>
  </si>
  <si>
    <t>Exposure condition</t>
  </si>
  <si>
    <t>cc (in.)</t>
  </si>
  <si>
    <t>Cover is measured to the outermost bar — the stirrup or tie in a beam or column.  Increase it for fire resistance or where the authority having jurisdiction requires more.</t>
  </si>
  <si>
    <t>Cast on ground</t>
  </si>
  <si>
    <t>Cast against and permanently in contact with ground.</t>
  </si>
  <si>
    <t>Weather #6+</t>
  </si>
  <si>
    <t>Exposed to weather or in contact with ground — #6 through #18 bars.</t>
  </si>
  <si>
    <t>Weather #5−</t>
  </si>
  <si>
    <t>Exposed to weather or in contact with ground — #5 bars, W31/D31 wire and smaller.</t>
  </si>
  <si>
    <t>Interior beam</t>
  </si>
  <si>
    <t>Not exposed to weather or in contact with ground — beams, columns, pedestals and tension ties.</t>
  </si>
  <si>
    <t>Interior slab</t>
  </si>
  <si>
    <t>Not exposed to weather or in contact with ground — slabs, joists and walls, #11 and smaller.</t>
  </si>
  <si>
    <t>6)  Minimum thickness for deflection (Table 9.3.1.1 beams, Table 7.3.1.1 one-way slabs)</t>
  </si>
  <si>
    <t>Support condition</t>
  </si>
  <si>
    <t>Beam  ℓ/x</t>
  </si>
  <si>
    <t>Slab  ℓ/x</t>
  </si>
  <si>
    <t>Values are for normalweight concrete and Grade 60 bars; the sheets apply the (0.4 + fy/100000) factor for other grades.</t>
  </si>
  <si>
    <t>Simply supported</t>
  </si>
  <si>
    <t>Members supporting construction likely to be damaged by large deflections need a calculated deflection  (9.3.1.1).</t>
  </si>
  <si>
    <t>One end continuous</t>
  </si>
  <si>
    <t>Both ends continuous</t>
  </si>
  <si>
    <t>Cantilever</t>
  </si>
  <si>
    <t>7)  Reinforcing bar sizes (ASTM A615 / A706)</t>
  </si>
  <si>
    <t>Bar</t>
  </si>
  <si>
    <t>db (in.)</t>
  </si>
  <si>
    <t>Ab (in²)</t>
  </si>
  <si>
    <t>Bar designations are in eighths of an inch up to #8;  #9, #10 and #11 replace the former 1 in., 1⅛ in. and 1¼ in. square bars.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</si>
  <si>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</si>
  <si>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</si>
  <si>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</si>
  <si>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</si>
  <si>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</si>
  <si>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</si>
  <si>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</si>
  <si>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</si>
  <si>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</si>
  <si>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#14</t>
  </si>
  <si>
    <t>#18</t>
  </si>
  <si>
    <t>8)  Using this workbook</t>
  </si>
  <si>
    <t>•  Enter data only in the yellow cells. Every other cell is a live formula — do not overwrite it.</t>
  </si>
  <si>
    <t>•  Each design sheet ends with a checks block (blue) and a green design summary.</t>
  </si>
  <si>
    <t>•  Units are US customary throughout: inches, feet, kips, kip-ft, psi and ksf, as labelled on each line.</t>
  </si>
  <si>
    <t>•  Section numbers in the right-hand column refer to ACI 318-19 unless noted otherwise.</t>
  </si>
  <si>
    <t>Singly Reinforced Rectangular Beam — ACI 318-19</t>
  </si>
  <si>
    <t>Simply supported / single-span rectangular beam.  Enter values in the yellow cells only.  φ factors and load factors are taken from the Parameters tab.</t>
  </si>
  <si>
    <t>1)  Section geometry, materials and bar arrangement</t>
  </si>
  <si>
    <t>Width of beam</t>
  </si>
  <si>
    <t>b</t>
  </si>
  <si>
    <t>in.</t>
  </si>
  <si>
    <t>Overall depth of beam</t>
  </si>
  <si>
    <t>h</t>
  </si>
  <si>
    <t>Clear span between supports</t>
  </si>
  <si>
    <t>ℓn</t>
  </si>
  <si>
    <t>ft</t>
  </si>
  <si>
    <t>Width of support</t>
  </si>
  <si>
    <t>t</t>
  </si>
  <si>
    <t>Specified compressive strength of concrete</t>
  </si>
  <si>
    <t>Normalweight concrete assumed unless the Parameters tab says otherwise.</t>
  </si>
  <si>
    <t>Specified yield strength of reinforcement</t>
  </si>
  <si>
    <t>fy</t>
  </si>
  <si>
    <t>Grade 60 to ASTM A615 or A706.</t>
  </si>
  <si>
    <t>Specified yield strength of stirrups</t>
  </si>
  <si>
    <t>fyt</t>
  </si>
  <si>
    <t>fyt ≤ 60000 psi for shear reinforcement  (20.2.2.4).</t>
  </si>
  <si>
    <t>Exposure condition for cover</t>
  </si>
  <si>
    <t>Sets cc from Table 20.5.1.3.1 on the Parameters tab.</t>
  </si>
  <si>
    <t>Size of main tension bars</t>
  </si>
  <si>
    <t>Number of tension bars</t>
  </si>
  <si>
    <t>n</t>
  </si>
  <si>
    <t>Nos</t>
  </si>
  <si>
    <t>Size of stirrups</t>
  </si>
  <si>
    <t>Number of stirrup legs</t>
  </si>
  <si>
    <t>legs</t>
  </si>
  <si>
    <t>Nominal maximum aggregate size</t>
  </si>
  <si>
    <t>Used for the minimum clear bar spacing  (25.2.1).</t>
  </si>
  <si>
    <t>2)  Cover, bar sizes and effective depth (20.5.1.3, 6.3.1.2)</t>
  </si>
  <si>
    <t>Specified concrete cover</t>
  </si>
  <si>
    <t>cc</t>
  </si>
  <si>
    <t>Table 20.5.1.3.1, measured to the stirrup.</t>
  </si>
  <si>
    <t>Diameter of main bars</t>
  </si>
  <si>
    <t>db</t>
  </si>
  <si>
    <t>Area of one main bar</t>
  </si>
  <si>
    <t>Ab</t>
  </si>
  <si>
    <t>in²</t>
  </si>
  <si>
    <t>Diameter of stirrup bars</t>
  </si>
  <si>
    <t>Area of one stirrup bar</t>
  </si>
  <si>
    <t>Effective depth to tension steel</t>
  </si>
  <si>
    <t>d</t>
  </si>
  <si>
    <t>d = h − cc − db,stirrup − db/2 for a single layer of bars.</t>
  </si>
  <si>
    <t>Depth to the extreme tension bar</t>
  </si>
  <si>
    <t>dt</t>
  </si>
  <si>
    <t>dt = d while the bars sit in one layer;  εt is measured at dt  (22.2.2.1).</t>
  </si>
  <si>
    <t>Span used for analysis</t>
  </si>
  <si>
    <t>ℓ</t>
  </si>
  <si>
    <t>ℓ = ℓn + h, but not more than the centre-to-centre distance  (6.3.1.2).</t>
  </si>
  <si>
    <t>3)  Design material properties (19.2, 20.2, 22.2)</t>
  </si>
  <si>
    <t>Stress-block depth factor</t>
  </si>
  <si>
    <t>Table 22.2.2.4.3.</t>
  </si>
  <si>
    <t>Square root of f'c</t>
  </si>
  <si>
    <t>√f'c is limited to 100 psi in the shear provisions  (22.5.3.1).</t>
  </si>
  <si>
    <t>Modulus of elasticity of concrete</t>
  </si>
  <si>
    <t>ksi</t>
  </si>
  <si>
    <t>Ec = 57000·√f'c  (19.2.2.1b).</t>
  </si>
  <si>
    <t>Modulus of rupture</t>
  </si>
  <si>
    <t>fr = 7.5·λ·√f'c  (19.2.3.1).</t>
  </si>
  <si>
    <t>Yield strain of reinforcement</t>
  </si>
  <si>
    <t>εty</t>
  </si>
  <si>
    <t>εty = fy/Es;  0.00207 for Grade 60.</t>
  </si>
  <si>
    <t>From the Parameters tab.</t>
  </si>
  <si>
    <t>4)  Loads and required strength (5.3.1)</t>
  </si>
  <si>
    <t>Superimposed dead load</t>
  </si>
  <si>
    <t>wD</t>
  </si>
  <si>
    <t>kip/ft</t>
  </si>
  <si>
    <t>wL</t>
  </si>
  <si>
    <t>Self-weight of beam</t>
  </si>
  <si>
    <t>wsw</t>
  </si>
  <si>
    <t>wsw = wc·b·h/144, converted to kips.</t>
  </si>
  <si>
    <t>Total dead load</t>
  </si>
  <si>
    <t>D</t>
  </si>
  <si>
    <t>Factored load</t>
  </si>
  <si>
    <t>wu</t>
  </si>
  <si>
    <t>wu = max(1.4D ; 1.2D + 1.6L)  (5.3.1a, 5.3.1b).</t>
  </si>
  <si>
    <t>Factored moment at mid-span</t>
  </si>
  <si>
    <t>Mu</t>
  </si>
  <si>
    <t>kip-ft</t>
  </si>
  <si>
    <t>Mu = wu·ℓ²/8 for a simply supported span.</t>
  </si>
  <si>
    <t>Factored shear at the support</t>
  </si>
  <si>
    <t>Vu</t>
  </si>
  <si>
    <t>kip</t>
  </si>
  <si>
    <t>Factored shear at d from the face of support</t>
  </si>
  <si>
    <t>Vu,d</t>
  </si>
  <si>
    <t>Permitted where the reaction produces compression in the end region  (9.4.3.2).</t>
  </si>
  <si>
    <t>5)  Design for flexure (22.2, 22.3, 9.6.1)</t>
  </si>
  <si>
    <t>Required flexural resistance factor</t>
  </si>
  <si>
    <t>Rn</t>
  </si>
  <si>
    <t>Rn = Mu/(φ·b·d²), taking φ = 0.90 and verified below.</t>
  </si>
  <si>
    <t>Required reinforcement ratio</t>
  </si>
  <si>
    <t>ρ</t>
  </si>
  <si>
    <t>ρ = 0.85f'c/fy·[1 − √(1 − 2Rn/0.85f'c)].</t>
  </si>
  <si>
    <t>Tension steel required for strength</t>
  </si>
  <si>
    <t>As,req</t>
  </si>
  <si>
    <t>Minimum flexural reinforcement</t>
  </si>
  <si>
    <t>As,min</t>
  </si>
  <si>
    <t>As,min = max(3√f'c/fy ; 200/fy)·bw·d  (9.6.1.2).</t>
  </si>
  <si>
    <t>Tension steel provided</t>
  </si>
  <si>
    <t>As,prov</t>
  </si>
  <si>
    <t>Depth of the equivalent stress block</t>
  </si>
  <si>
    <t>a</t>
  </si>
  <si>
    <t>a = As·fy/(0.85·f'c·b)  (22.2.2.4.1).</t>
  </si>
  <si>
    <t>Neutral-axis depth</t>
  </si>
  <si>
    <t>c</t>
  </si>
  <si>
    <t>c = a/β1.</t>
  </si>
  <si>
    <t>Net tensile strain in the extreme bar</t>
  </si>
  <si>
    <t>εt</t>
  </si>
  <si>
    <t>εt = 0.003·(dt − c)/c.</t>
  </si>
  <si>
    <t>Strength reduction factor</t>
  </si>
  <si>
    <t>Table 21.2.2, interpolated through the transition zone.</t>
  </si>
  <si>
    <t>Nominal flexural strength</t>
  </si>
  <si>
    <t>Mn</t>
  </si>
  <si>
    <t>Mn = As·fy·(d − a/2).</t>
  </si>
  <si>
    <t>Design flexural strength</t>
  </si>
  <si>
    <t>φMn</t>
  </si>
  <si>
    <t>Clear spacing between tension bars</t>
  </si>
  <si>
    <t>sclear</t>
  </si>
  <si>
    <t>Minimum clear spacing between parallel bars = max(1 in. ; db ; 4/3 × maximum aggregate size)  (25.2.1).</t>
  </si>
  <si>
    <t>6)  Design for shear (22.5, 9.6.3, 9.7.6.2)</t>
  </si>
  <si>
    <t>Longitudinal reinforcement ratio</t>
  </si>
  <si>
    <t>ρw</t>
  </si>
  <si>
    <t>Area of shear reinforcement per set</t>
  </si>
  <si>
    <t>Av</t>
  </si>
  <si>
    <t>Minimum shear reinforcement per unit length</t>
  </si>
  <si>
    <t>(Av/s)min</t>
  </si>
  <si>
    <t>in²/in.</t>
  </si>
  <si>
    <t>Av,min/s = max(0.75√f'c·bw/fyt ; 50·bw/fyt)  (Table 9.6.3.4).</t>
  </si>
  <si>
    <t>Concrete shear strength</t>
  </si>
  <si>
    <t>Vc</t>
  </si>
  <si>
    <t>Vc = 2λ√f'c·bw·d, valid because Av ≥ Av,min  (Table 22.5.5.1a).</t>
  </si>
  <si>
    <t>Design concrete shear strength</t>
  </si>
  <si>
    <t>φVc</t>
  </si>
  <si>
    <t>Shear to be carried by the stirrups</t>
  </si>
  <si>
    <t>Vs,req</t>
  </si>
  <si>
    <t>Vs = Vu/φ − Vc  (22.5.1.1).</t>
  </si>
  <si>
    <t>Upper limit on Vs</t>
  </si>
  <si>
    <t>Vs,max</t>
  </si>
  <si>
    <t>Vs ≤ 8√f'c·bw·d  (22.5.1.2);  exceeding it means the section is too small.</t>
  </si>
  <si>
    <t>Spacing required for strength</t>
  </si>
  <si>
    <t>s,str</t>
  </si>
  <si>
    <t>s = Av·fyt·d/Vs  (22.5.8.5.3).</t>
  </si>
  <si>
    <t>Spacing allowed by minimum reinforcement</t>
  </si>
  <si>
    <t>s,min</t>
  </si>
  <si>
    <t>Maximum spacing permitted by the code</t>
  </si>
  <si>
    <t>s,max</t>
  </si>
  <si>
    <t>d/2 ≤ 24 in., halved once Vs &gt; 4√f'c·bw·d  (Table 9.7.6.2.2).</t>
  </si>
  <si>
    <t>Spacing provided (rounded down to 1 in.)</t>
  </si>
  <si>
    <t>s</t>
  </si>
  <si>
    <t>in. c/c</t>
  </si>
  <si>
    <t>Shear strength of the stirrups provided</t>
  </si>
  <si>
    <t>Vs</t>
  </si>
  <si>
    <t>Design shear strength</t>
  </si>
  <si>
    <t>φVn</t>
  </si>
  <si>
    <t>7)  Deflection — minimum thickness (9.3.1.1)</t>
  </si>
  <si>
    <t>Span divisor</t>
  </si>
  <si>
    <t>ℓ/x</t>
  </si>
  <si>
    <t>Table 9.3.1.1 for non-prestressed beams.</t>
  </si>
  <si>
    <t>Grade modification factor</t>
  </si>
  <si>
    <t>(0.4 + fy/100000) for reinforcement other than Grade 60  (Table 9.3.1.1, note).</t>
  </si>
  <si>
    <t>Minimum overall depth</t>
  </si>
  <si>
    <t>h,min</t>
  </si>
  <si>
    <t>The thickness rule applies only where the member does not support construction likely to be damaged by large deflections;  otherwise deflections must be calculated to 24.2.</t>
  </si>
  <si>
    <t>8)  Crack control — spacing of reinforcement (24.3.2)</t>
  </si>
  <si>
    <t>Stress in reinforcement at service load</t>
  </si>
  <si>
    <t>fs</t>
  </si>
  <si>
    <t>fs = 2/3·fy is permitted in place of a service-load analysis  (24.3.2.1).</t>
  </si>
  <si>
    <t>Cover to the tension face</t>
  </si>
  <si>
    <t>cc,t</t>
  </si>
  <si>
    <t>Least distance from the surface of the tension bars to the tension face.</t>
  </si>
  <si>
    <t>Maximum permitted bar spacing</t>
  </si>
  <si>
    <t>s = 15(40000/fs) − 2.5cc ≤ 12(40000/fs)  (24.3.2).</t>
  </si>
  <si>
    <t>Bar spacing provided (centres)</t>
  </si>
  <si>
    <t>9)  Development and lap lengths (25.4.2, 25.5.2)</t>
  </si>
  <si>
    <t>More than 12 in. of concrete cast below the bars?</t>
  </si>
  <si>
    <t>No</t>
  </si>
  <si>
    <t>Sets the casting-position factor ψt  (Table 25.4.2.5).</t>
  </si>
  <si>
    <t>Bar coating</t>
  </si>
  <si>
    <t>Uncoated</t>
  </si>
  <si>
    <t>Casting-position factor</t>
  </si>
  <si>
    <t>ψt</t>
  </si>
  <si>
    <t>1.3 for top bars, otherwise 1.0.</t>
  </si>
  <si>
    <t>Coating factor</t>
  </si>
  <si>
    <t>ψe</t>
  </si>
  <si>
    <t>1.5 for epoxy-coated bars with small cover or spacing, 1.2 otherwise, 1.0 uncoated.</t>
  </si>
  <si>
    <t>Product ψt·ψe</t>
  </si>
  <si>
    <t>The product ψt·ψe need not exceed 1.7  (25.4.2.5).</t>
  </si>
  <si>
    <t>Bar size factor</t>
  </si>
  <si>
    <t>ψs</t>
  </si>
  <si>
    <t>0.8 for #6 and smaller, 1.0 for #7 and larger.</t>
  </si>
  <si>
    <t>Grade factor</t>
  </si>
  <si>
    <t>ψg</t>
  </si>
  <si>
    <t>1.0 for Grade 40–60, 1.15 for Grade 80, 1.3 for Grade 100  (25.4.2.4).</t>
  </si>
  <si>
    <t>Development length in tension</t>
  </si>
  <si>
    <t>ℓd</t>
  </si>
  <si>
    <t>Table 25.4.2.3, with the 12 in. floor of 25.4.2.1(b).</t>
  </si>
  <si>
    <t>Class B tension lap splice</t>
  </si>
  <si>
    <t>ℓst</t>
  </si>
  <si>
    <t>Class B splice = 1.3ℓd ≥ 12 in.  (Table 25.5.2.1).</t>
  </si>
  <si>
    <t>10)  Summary of checks</t>
  </si>
  <si>
    <t>11)  Design summary</t>
  </si>
  <si>
    <t>Beam size, b × h</t>
  </si>
  <si>
    <t>Effective depth, d</t>
  </si>
  <si>
    <t>Concrete and steel</t>
  </si>
  <si>
    <t>Specified cover, cc</t>
  </si>
  <si>
    <t>Tension reinforcement</t>
  </si>
  <si>
    <t>Stirrups</t>
  </si>
  <si>
    <t>Design strengths</t>
  </si>
  <si>
    <t>Development length, ℓd</t>
  </si>
  <si>
    <t>Class B lap splice, ℓst</t>
  </si>
  <si>
    <t>ACI 318-19 RCC Design Sheets — Notes, Assumptions and References</t>
  </si>
  <si>
    <t>Scope</t>
  </si>
  <si>
    <t>•  Five design sheets to ACI 318-19 — singly and doubly reinforced rectangular beams, one-way and two-way solid slabs, braced rectangular columns and isolated pad footings.</t>
  </si>
  <si>
    <t>•  Units are US customary throughout: inches, feet, kips, kip-ft, psi and ksf. The numerical coefficients in ACI 318-19 (2√f'c, 3√f'c/fy, 57000√f'c and so on) are written for psi and are used here in that form.</t>
  </si>
  <si>
    <t>•  Every sheet reads its φ factors, load factors, cover, bar data and concrete properties from the Parameters tab, so a change there flows through the whole workbook.</t>
  </si>
  <si>
    <t>Strength reduction and load factors</t>
  </si>
  <si>
    <t>•  φ is not a constant. Each sheet computes the net tensile strain εt and interpolates φ through the transition zone: φ = 0.65 + 0.25(εt − εty)/0.003 for tied members (Table 21.2.2).</t>
  </si>
  <si>
    <t>•  Load combinations are limited to U = 1.4D and U = 1.2D + 1.6L (5.3.1a and 5.3.1b). Wind, seismic, snow and roof live load combinations are outside the scope of these sheets.</t>
  </si>
  <si>
    <t>•  Beams are checked against the εt ≥ 0.004 floor of 9.3.3.1, which replaces the ρmax of older codes.</t>
  </si>
  <si>
    <t>The 318-19 shear provisions</t>
  </si>
  <si>
    <t>•  ACI 318-19 rewrote one-way shear. Where Av ≥ Av,min the familiar Vc = 2λ√f'c·bw·d still applies (Table 22.5.5.1a) and the beam sheets use it.</t>
  </si>
  <si>
    <t>•  Where Av &lt; Av,min — slabs and footings — Vc = 8λs·λ·ρw^⅓·√f'c·bw·d instead (Table 22.5.5.1c). This depends on the reinforcement ratio and carries the size effect factor λs = √(2/(1 + d/10)).</t>
  </si>
  <si>
    <t>•  The practical consequence is that a thick, lightly reinforced footing has far less one-way shear capacity under 318-19 than under 318-14. The pad footing sheet applies the current rule, so it will often call for a thicker footing than a pre-2019 calculation would.</t>
  </si>
  <si>
    <t>•  Vs is capped at 8√f'c·bw·d (22.5.1.2); exceeding it means the section is too small whatever the stirrup spacing.</t>
  </si>
  <si>
    <t>Key expressions used</t>
  </si>
  <si>
    <t>•  Flexure:  a = As·fy/(0.85f'c·b);  c = a/β1;  εt = 0.003(dt − c)/c;  Mn = As·fy(d − a/2).</t>
  </si>
  <si>
    <t>•  Minimum flexural steel:  As,min = max(3√f'c/fy ; 200/fy)·bw·d  (9.6.1.2).</t>
  </si>
  <si>
    <t>•  Doubly reinforced sections solve horizontal equilibrium for c directly, including the concrete displaced by the compression bars, and fall back to a quadratic when those bars do not yield.</t>
  </si>
  <si>
    <t>•  Columns:  moment magnifier δ = Cm/(1 − Pu/0.75Pc) ≥ 1.0 with (EI)eff = 0.4EcIg/(1 + βdns)  (6.6.4).</t>
  </si>
  <si>
    <t>•  Two-way shear:  vc = min(4 ; 2 + 4/β ; 2 + αs·d/bo)·λs·λ·√f'c  (Table 22.6.5.2).</t>
  </si>
  <si>
    <t>•  Two-way slabs:  Direct Design Method, Mo = qu·ℓ2·ℓn²/8, distributed 0.65/0.35 to the supports and mid-span of an interior panel, with 75% and 60% of those going to the column strip (8.10).</t>
  </si>
  <si>
    <t>Assumptions and limitations</t>
  </si>
  <si>
    <t>•  Beams are single-span and rectangular; flanged (T and L) sections are not covered.</t>
  </si>
  <si>
    <t>•  Tension steel is assumed to sit in a single layer, so dt = d. For two layers, adjust the effective depth by hand before reading the results.</t>
  </si>
  <si>
    <t>•  The column interaction diagram models two symmetrical bar layers on the faces parallel to the neutral axis. Bars on the side faces are ignored, which is safe but slightly conservative.</t>
  </si>
  <si>
    <t>•  The column sheet covers braced (non-sway) frames only. Sway frames need the second-order analysis of 6.6.4.6 or 6.7.</t>
  </si>
  <si>
    <t>•  Biaxial bending, torsion (22.7), shear friction, fatigue, fire design and seismic detailing (Chapter 18) are outside the scope of these sheets.</t>
  </si>
  <si>
    <t>•  The two-way slab sheet designs an interior panel by the Direct Design Method and does not include the unbalanced moment transferred to the column by eccentricity of shear (8.4.4.2).</t>
  </si>
  <si>
    <t>•  Footings are treated as axially loaded with a uniform bearing pressure. A footing carrying significant moment needs a separate check of the resulting pressure distribution.</t>
  </si>
  <si>
    <t>Using and checking the sheets</t>
  </si>
  <si>
    <t>•  Enter data only in the yellow cells. Every other cell is a live formula.</t>
  </si>
  <si>
    <t>•  Blue text carries the interpretation of a check; the green banner near the foot of each sheet aggregates them all.</t>
  </si>
  <si>
    <t>•  Verify any sheet against a worked example before using it in earnest.</t>
  </si>
  <si>
    <t>•  These sheets support design; they do not replace the judgement of the responsible engineer, and the results should be checked independently before being issued.</t>
  </si>
  <si>
    <t>References</t>
  </si>
  <si>
    <t>•  ACI 318-19, Building Code Requirements for Structural Concrete, and ACI 318R-19 Commentary (reapproved with errata).</t>
  </si>
  <si>
    <t>•  ASCE/SEI 7, Minimum Design Loads and Associated Criteria for Buildings and Other Structures — for the load combinations referenced by ACI 318-19 §5.3.</t>
  </si>
  <si>
    <t>•  ASTM A615 / A706 — deformed bar sizes and grades.</t>
  </si>
  <si>
    <t>•  ACI PRC-435, Control of Deflection in Concrete Structures — background to the minimum thickness tables used here.</t>
  </si>
  <si>
    <t>ACI 318 RC Design Sheets - free sample</t>
  </si>
  <si>
    <t>This is one complete, unlocked design sheet from the full ACI 318 pack, to ACI 318-19.</t>
  </si>
  <si>
    <t>Nothing is trimmed or disabled: every formula is live, every cell is readable, and the</t>
  </si>
  <si>
    <t>Parameters tab it depends on is included. Change the yellow inputs and it recalculates.</t>
  </si>
  <si>
    <t>What is in this file</t>
  </si>
  <si>
    <t xml:space="preserve">  Parameters            - factors, material data and lookup tables the sheet reads from</t>
  </si>
  <si>
    <t xml:space="preserve">  ACI Beam SR           - singly reinforced rectangular beam, designed end to end</t>
  </si>
  <si>
    <t xml:space="preserve">  Notes &amp; References    - scope, assumptions, limitations and the sources used</t>
  </si>
  <si>
    <t>What the full pack adds</t>
  </si>
  <si>
    <t xml:space="preserve">  Sheets for doubly reinforced beams, one-way and two-way slabs, braced columns and isolated pad footings.</t>
  </si>
  <si>
    <t xml:space="preserve">  https://devangbhujbal.com/aci-318-pack.html</t>
  </si>
  <si>
    <t>Please check it before you trust it</t>
  </si>
  <si>
    <t>That is the point of the sample. Run it against a worked example you already have and</t>
  </si>
  <si>
    <t>satisfy yourself the numbers are right. These sheets support design; they do not replace</t>
  </si>
  <si>
    <t>the judgement of the responsible engineer, and results should be checked independently.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</si>
</sst>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"/>
  </numFmts>
  <fonts count="12" x14ac:knownFonts="1">
    <font>
      <sz val="11"/>
      <color theme="1"/>
      <name val="Calibri"/>
      <family val="2"/>
      <scheme val="minor"/>
    </font>
    <font>
      <b/>
      <sz val="16"/>
      <name val="Calibri"/>
    </font>
    <font>
      <i/>
      <sz val="12"/>
      <name val="Calibri"/>
    </font>
    <font>
      <b/>
      <sz val="12"/>
      <name val="Calibri"/>
    </font>
    <font>
      <sz val="12"/>
      <name val="Calibri"/>
    </font>
    <font>
      <b/>
      <sz val="11"/>
      <name val="Calibri"/>
    </font>
    <font>
      <i/>
      <sz val="10"/>
      <color rgb="FF595959"/>
      <name val="Calibri"/>
    </font>
    <font>
      <sz val="10"/>
      <name val="Calibri"/>
    </font>
    <font>
      <b/>
      <sz val="12"/>
      <color rgb="FF0070C0"/>
      <name val="Calibri"/>
    </font>
    <font>
      <b/>
      <sz val="12"/>
      <color rgb="FFC00000"/>
      <name val="Calibri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D9D9D9"/>
      </patternFill>
    </fill>
    <fill>
      <patternFill patternType="solid">
        <fgColor rgb="FFFFE699"/>
      </patternFill>
    </fill>
    <fill>
      <patternFill patternType="solid">
        <fgColor rgb="FFA9D08E"/>
      </patternFill>
    </fill>
    <fill>
      <patternFill patternType="solid">
        <fgColor rgb="FFDDE9F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4" borderId="1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2" fontId="4" fillId="0" borderId="1" xfId="0" applyNumberFormat="1" applyFont="1" applyBorder="1" applyAlignment="1">
      <alignment horizontal="right"/>
    </xf>
    <xf numFmtId="1" fontId="4" fillId="4" borderId="1" xfId="0" applyNumberFormat="1" applyFont="1" applyFill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2" fontId="4" fillId="4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1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left"/>
    </xf>
    <xf numFmtId="2" fontId="3" fillId="5" borderId="1" xfId="0" applyNumberFormat="1" applyFont="1" applyFill="1" applyBorder="1" applyAlignment="1">
      <alignment horizontal="right"/>
    </xf>
    <xf numFmtId="0" fontId="4" fillId="5" borderId="1" xfId="0" applyFont="1" applyFill="1" applyBorder="1"/>
    <xf numFmtId="1" fontId="3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11" fillId="0" borderId="0" xfId="0" applyFont="1"/>
    <xf numFmtId="0" fontId="10" fillId="6" borderId="0" xfId="0" applyFont="1" applyFill="1"/>
    <xf numFmtId="0" fontId="3" fillId="3" borderId="0" xfId="0" applyFont="1" applyFill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5" borderId="2" xfId="0" applyFont="1" applyFill="1" applyBorder="1" applyAlignment="1">
      <alignment horizontal="left"/>
    </xf>
    <xf numFmtId="0" fontId="0" fillId="0" borderId="3" xfId="0" applyBorder="1"/>
    <xf numFmtId="0" fontId="3" fillId="5" borderId="1" xfId="0" applyFont="1" applyFill="1" applyBorder="1" applyAlignment="1">
      <alignment horizontal="center"/>
    </xf>
    <xf numFmtId="0" fontId="0" fillId="0" borderId="4" xfId="0" applyBorder="1"/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E1752-C050-456D-B8D0-F215FF769E60}">
  <dimension ref="B1:B19"/>
  <sheetViews>
    <sheetView tabSelected="1" workbookViewId="0">
      <selection activeCell="B1" sqref="B1"/>
    </sheetView>
  </sheetViews>
  <sheetFormatPr defaultRowHeight="14.4" x14ac:dyDescent="0.3"/>
  <cols>
    <col min="1" max="1" width="3.77734375" customWidth="1"/>
    <col min="2" max="2" width="118.77734375" customWidth="1"/>
  </cols>
  <sheetData>
    <row r="1" spans="2:2" ht="30" customHeight="1" x14ac:dyDescent="0.4">
      <c r="B1" s="28" t="s">
        <v>350</v>
      </c>
    </row>
    <row r="3" spans="2:2" x14ac:dyDescent="0.3">
      <c r="B3" t="s">
        <v>351</v>
      </c>
    </row>
    <row r="4" spans="2:2" x14ac:dyDescent="0.3">
      <c r="B4" t="s">
        <v>352</v>
      </c>
    </row>
    <row r="5" spans="2:2" x14ac:dyDescent="0.3">
      <c r="B5" t="s">
        <v>353</v>
      </c>
    </row>
    <row r="7" spans="2:2" ht="15.6" x14ac:dyDescent="0.3">
      <c r="B7" s="27" t="s">
        <v>354</v>
      </c>
    </row>
    <row r="8" spans="2:2" x14ac:dyDescent="0.3">
      <c r="B8" t="s">
        <v>355</v>
      </c>
    </row>
    <row r="9" spans="2:2" x14ac:dyDescent="0.3">
      <c r="B9" t="s">
        <v>356</v>
      </c>
    </row>
    <row r="10" spans="2:2" x14ac:dyDescent="0.3">
      <c r="B10" t="s">
        <v>357</v>
      </c>
    </row>
    <row r="12" spans="2:2" ht="15.6" x14ac:dyDescent="0.3">
      <c r="B12" s="27" t="s">
        <v>358</v>
      </c>
    </row>
    <row r="13" spans="2:2" x14ac:dyDescent="0.3">
      <c r="B13" t="s">
        <v>359</v>
      </c>
    </row>
    <row r="14" spans="2:2" x14ac:dyDescent="0.3">
      <c r="B14" t="s">
        <v>360</v>
      </c>
    </row>
    <row r="16" spans="2:2" ht="15.6" x14ac:dyDescent="0.3">
      <c r="B16" s="27" t="s">
        <v>361</v>
      </c>
    </row>
    <row r="17" spans="2:2" x14ac:dyDescent="0.3">
      <c r="B17" t="s">
        <v>362</v>
      </c>
    </row>
    <row r="18" spans="2:2" x14ac:dyDescent="0.3">
      <c r="B18" t="s">
        <v>363</v>
      </c>
    </row>
    <row r="19" spans="2:2" x14ac:dyDescent="0.3">
      <c r="B19" t="s">
        <v>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BFA7-3075-4D48-8AA8-5722395BDDCD}">
  <sheetPr>
    <pageSetUpPr fitToPage="1"/>
  </sheetPr>
  <dimension ref="A1:I70"/>
  <sheetViews>
    <sheetView showGridLines="0" workbookViewId="0">
      <pane ySplit="3" topLeftCell="A4" activePane="bottomLeft" state="frozen"/>
      <selection pane="bottomLeft" sqref="A1:I1"/>
    </sheetView>
  </sheetViews>
  <sheetFormatPr defaultRowHeight="14.4" x14ac:dyDescent="0.3"/>
  <cols>
    <col min="1" max="1" width="5.5546875" customWidth="1"/>
    <col min="2" max="2" width="30" customWidth="1"/>
    <col min="3" max="3" width="13" customWidth="1"/>
    <col min="5" max="5" width="14" customWidth="1"/>
    <col min="6" max="6" width="11" customWidth="1"/>
    <col min="7" max="7" width="30" customWidth="1"/>
    <col min="8" max="8" width="2.44140625" customWidth="1"/>
    <col min="9" max="9" width="52" customWidth="1"/>
    <col min="10" max="10" width="12" customWidth="1"/>
  </cols>
  <sheetData>
    <row r="1" spans="1:9" ht="21" x14ac:dyDescent="0.4">
      <c r="A1" s="33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.6" x14ac:dyDescent="0.3">
      <c r="A2" s="34" t="s">
        <v>1</v>
      </c>
      <c r="B2" s="30"/>
      <c r="C2" s="30"/>
      <c r="D2" s="30"/>
      <c r="E2" s="30"/>
      <c r="F2" s="30"/>
      <c r="G2" s="30"/>
      <c r="H2" s="30"/>
      <c r="I2" s="30"/>
    </row>
    <row r="4" spans="1:9" ht="15.6" x14ac:dyDescent="0.3">
      <c r="A4" s="29" t="s">
        <v>2</v>
      </c>
      <c r="B4" s="30"/>
      <c r="C4" s="30"/>
      <c r="D4" s="30"/>
      <c r="E4" s="30"/>
      <c r="F4" s="30"/>
      <c r="G4" s="30"/>
      <c r="H4" s="30"/>
      <c r="I4" s="30"/>
    </row>
    <row r="5" spans="1:9" ht="15.6" x14ac:dyDescent="0.3">
      <c r="B5" s="31" t="s">
        <v>3</v>
      </c>
      <c r="C5" s="30"/>
      <c r="D5" s="3" t="s">
        <v>4</v>
      </c>
      <c r="E5" s="4" t="s">
        <v>5</v>
      </c>
      <c r="I5" s="5" t="s">
        <v>6</v>
      </c>
    </row>
    <row r="6" spans="1:9" ht="15.6" x14ac:dyDescent="0.3">
      <c r="B6" s="31" t="s">
        <v>7</v>
      </c>
      <c r="C6" s="30"/>
      <c r="D6" s="3" t="s">
        <v>8</v>
      </c>
      <c r="E6" s="6">
        <f>IF(E5="Normalweight",1,IF(E5="Sand-lightweight",0.85,0.75))</f>
        <v>1</v>
      </c>
      <c r="I6" s="5" t="s">
        <v>9</v>
      </c>
    </row>
    <row r="7" spans="1:9" ht="15.6" x14ac:dyDescent="0.3">
      <c r="B7" s="31" t="s">
        <v>10</v>
      </c>
      <c r="C7" s="30"/>
      <c r="D7" s="3" t="s">
        <v>11</v>
      </c>
      <c r="E7" s="7">
        <v>150</v>
      </c>
      <c r="F7" s="2" t="s">
        <v>12</v>
      </c>
      <c r="I7" s="5" t="s">
        <v>13</v>
      </c>
    </row>
    <row r="8" spans="1:9" ht="15.6" x14ac:dyDescent="0.3">
      <c r="B8" s="31" t="s">
        <v>14</v>
      </c>
      <c r="C8" s="30"/>
      <c r="D8" s="3" t="s">
        <v>15</v>
      </c>
      <c r="E8" s="8">
        <v>29000000</v>
      </c>
      <c r="F8" s="2" t="s">
        <v>16</v>
      </c>
      <c r="I8" s="5" t="s">
        <v>17</v>
      </c>
    </row>
    <row r="9" spans="1:9" ht="15.6" x14ac:dyDescent="0.3">
      <c r="B9" s="31" t="s">
        <v>18</v>
      </c>
      <c r="C9" s="30"/>
      <c r="D9" s="3" t="s">
        <v>19</v>
      </c>
      <c r="E9" s="9">
        <v>3.0000000000000001E-3</v>
      </c>
      <c r="I9" s="5" t="s">
        <v>20</v>
      </c>
    </row>
    <row r="10" spans="1:9" ht="15.6" x14ac:dyDescent="0.3">
      <c r="B10" s="31" t="s">
        <v>21</v>
      </c>
      <c r="C10" s="30"/>
      <c r="D10" s="3" t="s">
        <v>4</v>
      </c>
      <c r="E10" s="6">
        <v>0.85</v>
      </c>
      <c r="I10" s="5" t="s">
        <v>22</v>
      </c>
    </row>
    <row r="12" spans="1:9" ht="15.6" x14ac:dyDescent="0.3">
      <c r="A12" s="29" t="s">
        <v>23</v>
      </c>
      <c r="B12" s="30"/>
      <c r="C12" s="30"/>
      <c r="D12" s="30"/>
      <c r="E12" s="30"/>
      <c r="F12" s="30"/>
      <c r="G12" s="30"/>
      <c r="H12" s="30"/>
      <c r="I12" s="30"/>
    </row>
    <row r="13" spans="1:9" ht="15.6" x14ac:dyDescent="0.3">
      <c r="B13" s="31" t="s">
        <v>24</v>
      </c>
      <c r="C13" s="30"/>
      <c r="D13" s="3" t="s">
        <v>25</v>
      </c>
      <c r="E13" s="6">
        <v>0.9</v>
      </c>
      <c r="I13" s="5" t="s">
        <v>26</v>
      </c>
    </row>
    <row r="14" spans="1:9" ht="15.6" x14ac:dyDescent="0.3">
      <c r="B14" s="31" t="s">
        <v>27</v>
      </c>
      <c r="C14" s="30"/>
      <c r="D14" s="3" t="s">
        <v>25</v>
      </c>
      <c r="E14" s="6">
        <v>0.65</v>
      </c>
      <c r="I14" s="5" t="s">
        <v>28</v>
      </c>
    </row>
    <row r="15" spans="1:9" ht="15.6" x14ac:dyDescent="0.3">
      <c r="B15" s="31" t="s">
        <v>29</v>
      </c>
      <c r="C15" s="30"/>
      <c r="D15" s="3" t="s">
        <v>25</v>
      </c>
      <c r="E15" s="6">
        <v>0.75</v>
      </c>
      <c r="I15" s="5" t="s">
        <v>30</v>
      </c>
    </row>
    <row r="16" spans="1:9" ht="15.6" x14ac:dyDescent="0.3">
      <c r="B16" s="31" t="s">
        <v>31</v>
      </c>
      <c r="C16" s="30"/>
      <c r="D16" s="3" t="s">
        <v>32</v>
      </c>
      <c r="E16" s="6">
        <v>0.75</v>
      </c>
      <c r="I16" s="5" t="s">
        <v>33</v>
      </c>
    </row>
    <row r="17" spans="1:9" ht="15.6" x14ac:dyDescent="0.3">
      <c r="B17" s="31" t="s">
        <v>34</v>
      </c>
      <c r="C17" s="30"/>
      <c r="D17" s="3" t="s">
        <v>35</v>
      </c>
      <c r="E17" s="6">
        <v>0.65</v>
      </c>
      <c r="I17" s="5" t="s">
        <v>36</v>
      </c>
    </row>
    <row r="18" spans="1:9" x14ac:dyDescent="0.3">
      <c r="B18" s="32" t="s">
        <v>37</v>
      </c>
      <c r="C18" s="30"/>
      <c r="D18" s="30"/>
      <c r="E18" s="30"/>
      <c r="F18" s="30"/>
      <c r="G18" s="30"/>
      <c r="H18" s="30"/>
      <c r="I18" s="30"/>
    </row>
    <row r="20" spans="1:9" ht="15.6" x14ac:dyDescent="0.3">
      <c r="A20" s="29" t="s">
        <v>38</v>
      </c>
      <c r="B20" s="30"/>
      <c r="C20" s="30"/>
      <c r="D20" s="30"/>
      <c r="E20" s="30"/>
      <c r="F20" s="30"/>
      <c r="G20" s="30"/>
      <c r="H20" s="30"/>
      <c r="I20" s="30"/>
    </row>
    <row r="21" spans="1:9" ht="15.6" x14ac:dyDescent="0.3">
      <c r="B21" s="31" t="s">
        <v>39</v>
      </c>
      <c r="C21" s="30"/>
      <c r="D21" s="3" t="s">
        <v>4</v>
      </c>
      <c r="E21" s="10">
        <v>1.4</v>
      </c>
      <c r="I21" s="5" t="s">
        <v>40</v>
      </c>
    </row>
    <row r="22" spans="1:9" ht="15.6" x14ac:dyDescent="0.3">
      <c r="B22" s="31" t="s">
        <v>41</v>
      </c>
      <c r="C22" s="30"/>
      <c r="D22" s="3" t="s">
        <v>4</v>
      </c>
      <c r="E22" s="10">
        <v>1.2</v>
      </c>
      <c r="I22" s="5" t="s">
        <v>42</v>
      </c>
    </row>
    <row r="23" spans="1:9" ht="15.6" x14ac:dyDescent="0.3">
      <c r="B23" s="31" t="s">
        <v>43</v>
      </c>
      <c r="C23" s="30"/>
      <c r="D23" s="3" t="s">
        <v>4</v>
      </c>
      <c r="E23" s="10">
        <v>1.6</v>
      </c>
      <c r="I23" s="5" t="s">
        <v>44</v>
      </c>
    </row>
    <row r="25" spans="1:9" ht="15.6" x14ac:dyDescent="0.3">
      <c r="A25" s="29" t="s">
        <v>45</v>
      </c>
      <c r="B25" s="30"/>
      <c r="C25" s="30"/>
      <c r="D25" s="30"/>
      <c r="E25" s="30"/>
      <c r="F25" s="30"/>
      <c r="G25" s="30"/>
      <c r="H25" s="30"/>
      <c r="I25" s="30"/>
    </row>
    <row r="26" spans="1:9" x14ac:dyDescent="0.3">
      <c r="B26" s="11" t="s">
        <v>46</v>
      </c>
      <c r="C26" s="11" t="s">
        <v>47</v>
      </c>
      <c r="D26" s="11" t="s">
        <v>48</v>
      </c>
      <c r="E26" s="11" t="s">
        <v>49</v>
      </c>
      <c r="F26" s="11" t="s">
        <v>50</v>
      </c>
      <c r="I26" s="12" t="s">
        <v>51</v>
      </c>
    </row>
    <row r="27" spans="1:9" x14ac:dyDescent="0.3">
      <c r="B27" s="13">
        <v>2500</v>
      </c>
      <c r="C27" s="14">
        <f t="shared" ref="C27:C35" si="0">IF(B27&lt;=4000,0.85,MAX(0.65,0.85-0.05*(B27-4000)/1000))</f>
        <v>0.85</v>
      </c>
      <c r="D27" s="15">
        <f t="shared" ref="D27:D35" si="1">SQRT(B27)</f>
        <v>50</v>
      </c>
      <c r="E27" s="13">
        <f t="shared" ref="E27:E35" si="2">57*SQRT(B27)</f>
        <v>2850</v>
      </c>
      <c r="F27" s="13">
        <f t="shared" ref="F27:F35" si="3">7.5*$E$6*SQRT(B27)</f>
        <v>375</v>
      </c>
      <c r="I27" s="12" t="s">
        <v>52</v>
      </c>
    </row>
    <row r="28" spans="1:9" x14ac:dyDescent="0.3">
      <c r="B28" s="13">
        <v>3000</v>
      </c>
      <c r="C28" s="14">
        <f t="shared" si="0"/>
        <v>0.85</v>
      </c>
      <c r="D28" s="15">
        <f t="shared" si="1"/>
        <v>54.772255750516614</v>
      </c>
      <c r="E28" s="13">
        <f t="shared" si="2"/>
        <v>3122.0185777794468</v>
      </c>
      <c r="F28" s="13">
        <f t="shared" si="3"/>
        <v>410.79191812887461</v>
      </c>
    </row>
    <row r="29" spans="1:9" x14ac:dyDescent="0.3">
      <c r="B29" s="13">
        <v>3500</v>
      </c>
      <c r="C29" s="14">
        <f t="shared" si="0"/>
        <v>0.85</v>
      </c>
      <c r="D29" s="15">
        <f t="shared" si="1"/>
        <v>59.16079783099616</v>
      </c>
      <c r="E29" s="13">
        <f t="shared" si="2"/>
        <v>3372.1654763667811</v>
      </c>
      <c r="F29" s="13">
        <f t="shared" si="3"/>
        <v>443.70598373247117</v>
      </c>
    </row>
    <row r="30" spans="1:9" x14ac:dyDescent="0.3">
      <c r="B30" s="13">
        <v>4000</v>
      </c>
      <c r="C30" s="14">
        <f t="shared" si="0"/>
        <v>0.85</v>
      </c>
      <c r="D30" s="15">
        <f t="shared" si="1"/>
        <v>63.245553203367585</v>
      </c>
      <c r="E30" s="13">
        <f t="shared" si="2"/>
        <v>3604.9965325919525</v>
      </c>
      <c r="F30" s="13">
        <f t="shared" si="3"/>
        <v>474.34164902525691</v>
      </c>
    </row>
    <row r="31" spans="1:9" x14ac:dyDescent="0.3">
      <c r="B31" s="13">
        <v>4500</v>
      </c>
      <c r="C31" s="14">
        <f t="shared" si="0"/>
        <v>0.82499999999999996</v>
      </c>
      <c r="D31" s="15">
        <f t="shared" si="1"/>
        <v>67.082039324993687</v>
      </c>
      <c r="E31" s="13">
        <f t="shared" si="2"/>
        <v>3823.6762415246403</v>
      </c>
      <c r="F31" s="13">
        <f t="shared" si="3"/>
        <v>503.11529493745263</v>
      </c>
    </row>
    <row r="32" spans="1:9" x14ac:dyDescent="0.3">
      <c r="B32" s="13">
        <v>5000</v>
      </c>
      <c r="C32" s="14">
        <f t="shared" si="0"/>
        <v>0.79999999999999993</v>
      </c>
      <c r="D32" s="15">
        <f t="shared" si="1"/>
        <v>70.710678118654755</v>
      </c>
      <c r="E32" s="13">
        <f t="shared" si="2"/>
        <v>4030.5086527633212</v>
      </c>
      <c r="F32" s="13">
        <f t="shared" si="3"/>
        <v>530.33008588991061</v>
      </c>
    </row>
    <row r="33" spans="1:9" x14ac:dyDescent="0.3">
      <c r="B33" s="13">
        <v>6000</v>
      </c>
      <c r="C33" s="14">
        <f t="shared" si="0"/>
        <v>0.75</v>
      </c>
      <c r="D33" s="15">
        <f t="shared" si="1"/>
        <v>77.459666924148337</v>
      </c>
      <c r="E33" s="13">
        <f t="shared" si="2"/>
        <v>4415.2010146764551</v>
      </c>
      <c r="F33" s="13">
        <f t="shared" si="3"/>
        <v>580.94750193111258</v>
      </c>
    </row>
    <row r="34" spans="1:9" x14ac:dyDescent="0.3">
      <c r="B34" s="13">
        <v>7000</v>
      </c>
      <c r="C34" s="14">
        <f t="shared" si="0"/>
        <v>0.7</v>
      </c>
      <c r="D34" s="15">
        <f t="shared" si="1"/>
        <v>83.66600265340756</v>
      </c>
      <c r="E34" s="13">
        <f t="shared" si="2"/>
        <v>4768.9621512442309</v>
      </c>
      <c r="F34" s="13">
        <f t="shared" si="3"/>
        <v>627.49501990055671</v>
      </c>
    </row>
    <row r="35" spans="1:9" x14ac:dyDescent="0.3">
      <c r="B35" s="13">
        <v>8000</v>
      </c>
      <c r="C35" s="14">
        <f t="shared" si="0"/>
        <v>0.65</v>
      </c>
      <c r="D35" s="15">
        <f t="shared" si="1"/>
        <v>89.442719099991592</v>
      </c>
      <c r="E35" s="13">
        <f t="shared" si="2"/>
        <v>5098.2349886995207</v>
      </c>
      <c r="F35" s="13">
        <f t="shared" si="3"/>
        <v>670.82039324993696</v>
      </c>
    </row>
    <row r="37" spans="1:9" ht="15.6" x14ac:dyDescent="0.3">
      <c r="A37" s="29" t="s">
        <v>53</v>
      </c>
      <c r="B37" s="30"/>
      <c r="C37" s="30"/>
      <c r="D37" s="30"/>
      <c r="E37" s="30"/>
      <c r="F37" s="30"/>
      <c r="G37" s="30"/>
      <c r="H37" s="30"/>
      <c r="I37" s="30"/>
    </row>
    <row r="38" spans="1:9" x14ac:dyDescent="0.3">
      <c r="B38" s="11" t="s">
        <v>54</v>
      </c>
      <c r="C38" s="11" t="s">
        <v>55</v>
      </c>
      <c r="I38" s="12" t="s">
        <v>56</v>
      </c>
    </row>
    <row r="39" spans="1:9" x14ac:dyDescent="0.3">
      <c r="B39" s="16" t="s">
        <v>57</v>
      </c>
      <c r="C39" s="15">
        <v>3</v>
      </c>
      <c r="I39" s="12" t="s">
        <v>58</v>
      </c>
    </row>
    <row r="40" spans="1:9" x14ac:dyDescent="0.3">
      <c r="B40" s="16" t="s">
        <v>59</v>
      </c>
      <c r="C40" s="15">
        <v>2</v>
      </c>
      <c r="I40" s="12" t="s">
        <v>60</v>
      </c>
    </row>
    <row r="41" spans="1:9" x14ac:dyDescent="0.3">
      <c r="B41" s="16" t="s">
        <v>61</v>
      </c>
      <c r="C41" s="15">
        <v>1.5</v>
      </c>
      <c r="I41" s="12" t="s">
        <v>62</v>
      </c>
    </row>
    <row r="42" spans="1:9" x14ac:dyDescent="0.3">
      <c r="B42" s="16" t="s">
        <v>63</v>
      </c>
      <c r="C42" s="15">
        <v>1.5</v>
      </c>
      <c r="I42" s="12" t="s">
        <v>64</v>
      </c>
    </row>
    <row r="43" spans="1:9" x14ac:dyDescent="0.3">
      <c r="B43" s="16" t="s">
        <v>65</v>
      </c>
      <c r="C43" s="15">
        <v>0.75</v>
      </c>
      <c r="I43" s="12" t="s">
        <v>66</v>
      </c>
    </row>
    <row r="45" spans="1:9" ht="15.6" x14ac:dyDescent="0.3">
      <c r="A45" s="29" t="s">
        <v>67</v>
      </c>
      <c r="B45" s="30"/>
      <c r="C45" s="30"/>
      <c r="D45" s="30"/>
      <c r="E45" s="30"/>
      <c r="F45" s="30"/>
      <c r="G45" s="30"/>
      <c r="H45" s="30"/>
      <c r="I45" s="30"/>
    </row>
    <row r="46" spans="1:9" x14ac:dyDescent="0.3">
      <c r="B46" s="11" t="s">
        <v>68</v>
      </c>
      <c r="C46" s="11" t="s">
        <v>69</v>
      </c>
      <c r="D46" s="11" t="s">
        <v>70</v>
      </c>
      <c r="I46" s="12" t="s">
        <v>71</v>
      </c>
    </row>
    <row r="47" spans="1:9" x14ac:dyDescent="0.3">
      <c r="B47" s="16" t="s">
        <v>72</v>
      </c>
      <c r="C47" s="17">
        <v>16</v>
      </c>
      <c r="D47" s="17">
        <v>20</v>
      </c>
      <c r="I47" s="12" t="s">
        <v>73</v>
      </c>
    </row>
    <row r="48" spans="1:9" x14ac:dyDescent="0.3">
      <c r="B48" s="16" t="s">
        <v>74</v>
      </c>
      <c r="C48" s="17">
        <v>18.5</v>
      </c>
      <c r="D48" s="17">
        <v>24</v>
      </c>
    </row>
    <row r="49" spans="1:9" x14ac:dyDescent="0.3">
      <c r="B49" s="16" t="s">
        <v>75</v>
      </c>
      <c r="C49" s="17">
        <v>21</v>
      </c>
      <c r="D49" s="17">
        <v>28</v>
      </c>
    </row>
    <row r="50" spans="1:9" x14ac:dyDescent="0.3">
      <c r="B50" s="16" t="s">
        <v>76</v>
      </c>
      <c r="C50" s="17">
        <v>8</v>
      </c>
      <c r="D50" s="17">
        <v>10</v>
      </c>
    </row>
    <row r="52" spans="1:9" ht="15.6" x14ac:dyDescent="0.3">
      <c r="A52" s="29" t="s">
        <v>77</v>
      </c>
      <c r="B52" s="30"/>
      <c r="C52" s="30"/>
      <c r="D52" s="30"/>
      <c r="E52" s="30"/>
      <c r="F52" s="30"/>
      <c r="G52" s="30"/>
      <c r="H52" s="30"/>
      <c r="I52" s="30"/>
    </row>
    <row r="53" spans="1:9" x14ac:dyDescent="0.3">
      <c r="B53" s="11" t="s">
        <v>78</v>
      </c>
      <c r="C53" s="11" t="s">
        <v>79</v>
      </c>
      <c r="D53" s="11" t="s">
        <v>80</v>
      </c>
      <c r="I53" s="12" t="s">
        <v>81</v>
      </c>
    </row>
    <row r="54" spans="1:9" x14ac:dyDescent="0.3">
      <c r="B54" s="16" t="s">
        <v>82</v>
      </c>
      <c r="C54" s="14">
        <v>0.375</v>
      </c>
      <c r="D54" s="15">
        <v>0.11</v>
      </c>
    </row>
    <row r="55" spans="1:9" x14ac:dyDescent="0.3">
      <c r="B55" s="16" t="s">
        <v>83</v>
      </c>
      <c r="C55" s="14">
        <v>0.5</v>
      </c>
      <c r="D55" s="15">
        <v>0.2</v>
      </c>
    </row>
    <row r="56" spans="1:9" x14ac:dyDescent="0.3">
      <c r="B56" s="16" t="s">
        <v>84</v>
      </c>
      <c r="C56" s="14">
        <v>0.625</v>
      </c>
      <c r="D56" s="15">
        <v>0.31</v>
      </c>
    </row>
    <row r="57" spans="1:9" x14ac:dyDescent="0.3">
      <c r="B57" s="16" t="s">
        <v>85</v>
      </c>
      <c r="C57" s="14">
        <v>0.75</v>
      </c>
      <c r="D57" s="15">
        <v>0.44</v>
      </c>
    </row>
    <row r="58" spans="1:9" x14ac:dyDescent="0.3">
      <c r="B58" s="16" t="s">
        <v>86</v>
      </c>
      <c r="C58" s="14">
        <v>0.875</v>
      </c>
      <c r="D58" s="15">
        <v>0.6</v>
      </c>
    </row>
    <row r="59" spans="1:9" x14ac:dyDescent="0.3">
      <c r="B59" s="16" t="s">
        <v>87</v>
      </c>
      <c r="C59" s="14">
        <v>1</v>
      </c>
      <c r="D59" s="15">
        <v>0.79</v>
      </c>
    </row>
    <row r="60" spans="1:9" x14ac:dyDescent="0.3">
      <c r="B60" s="16" t="s">
        <v>88</v>
      </c>
      <c r="C60" s="14">
        <v>1.1279999999999999</v>
      </c>
      <c r="D60" s="15">
        <v>1</v>
      </c>
    </row>
    <row r="61" spans="1:9" x14ac:dyDescent="0.3">
      <c r="B61" s="16" t="s">
        <v>89</v>
      </c>
      <c r="C61" s="14">
        <v>1.27</v>
      </c>
      <c r="D61" s="15">
        <v>1.27</v>
      </c>
    </row>
    <row r="62" spans="1:9" x14ac:dyDescent="0.3">
      <c r="B62" s="16" t="s">
        <v>90</v>
      </c>
      <c r="C62" s="14">
        <v>1.41</v>
      </c>
      <c r="D62" s="15">
        <v>1.56</v>
      </c>
    </row>
    <row r="63" spans="1:9" x14ac:dyDescent="0.3">
      <c r="B63" s="16" t="s">
        <v>91</v>
      </c>
      <c r="C63" s="14">
        <v>1.6930000000000001</v>
      </c>
      <c r="D63" s="15">
        <v>2.25</v>
      </c>
    </row>
    <row r="64" spans="1:9" x14ac:dyDescent="0.3">
      <c r="B64" s="16" t="s">
        <v>92</v>
      </c>
      <c r="C64" s="14">
        <v>2.2570000000000001</v>
      </c>
      <c r="D64" s="15">
        <v>4</v>
      </c>
    </row>
    <row r="66" spans="1:9" ht="15.6" x14ac:dyDescent="0.3">
      <c r="A66" s="29" t="s">
        <v>93</v>
      </c>
      <c r="B66" s="30"/>
      <c r="C66" s="30"/>
      <c r="D66" s="30"/>
      <c r="E66" s="30"/>
      <c r="F66" s="30"/>
      <c r="G66" s="30"/>
      <c r="H66" s="30"/>
      <c r="I66" s="30"/>
    </row>
    <row r="67" spans="1:9" ht="15.6" x14ac:dyDescent="0.3">
      <c r="B67" s="31" t="s">
        <v>94</v>
      </c>
      <c r="C67" s="30"/>
      <c r="D67" s="30"/>
      <c r="E67" s="30"/>
      <c r="F67" s="30"/>
      <c r="G67" s="30"/>
      <c r="H67" s="30"/>
      <c r="I67" s="30"/>
    </row>
    <row r="68" spans="1:9" ht="15.6" x14ac:dyDescent="0.3">
      <c r="B68" s="31" t="s">
        <v>95</v>
      </c>
      <c r="C68" s="30"/>
      <c r="D68" s="30"/>
      <c r="E68" s="30"/>
      <c r="F68" s="30"/>
      <c r="G68" s="30"/>
      <c r="H68" s="30"/>
      <c r="I68" s="30"/>
    </row>
    <row r="69" spans="1:9" ht="15.6" x14ac:dyDescent="0.3">
      <c r="B69" s="31" t="s">
        <v>96</v>
      </c>
      <c r="C69" s="30"/>
      <c r="D69" s="30"/>
      <c r="E69" s="30"/>
      <c r="F69" s="30"/>
      <c r="G69" s="30"/>
      <c r="H69" s="30"/>
      <c r="I69" s="30"/>
    </row>
    <row r="70" spans="1:9" ht="15.6" x14ac:dyDescent="0.3">
      <c r="B70" s="31" t="s">
        <v>97</v>
      </c>
      <c r="C70" s="30"/>
      <c r="D70" s="30"/>
      <c r="E70" s="30"/>
      <c r="F70" s="30"/>
      <c r="G70" s="30"/>
      <c r="H70" s="30"/>
      <c r="I70" s="30"/>
    </row>
  </sheetData>
  <mergeCells count="29">
    <mergeCell ref="B14:C14"/>
    <mergeCell ref="A1:I1"/>
    <mergeCell ref="A2:I2"/>
    <mergeCell ref="A4:I4"/>
    <mergeCell ref="B5:C5"/>
    <mergeCell ref="B6:C6"/>
    <mergeCell ref="B7:C7"/>
    <mergeCell ref="B8:C8"/>
    <mergeCell ref="B9:C9"/>
    <mergeCell ref="B10:C10"/>
    <mergeCell ref="A12:I12"/>
    <mergeCell ref="B13:C13"/>
    <mergeCell ref="A52:I52"/>
    <mergeCell ref="B15:C15"/>
    <mergeCell ref="B16:C16"/>
    <mergeCell ref="B17:C17"/>
    <mergeCell ref="B18:I18"/>
    <mergeCell ref="A20:I20"/>
    <mergeCell ref="B21:C21"/>
    <mergeCell ref="B22:C22"/>
    <mergeCell ref="B23:C23"/>
    <mergeCell ref="A25:I25"/>
    <mergeCell ref="A37:I37"/>
    <mergeCell ref="A45:I45"/>
    <mergeCell ref="A66:I66"/>
    <mergeCell ref="B67:I67"/>
    <mergeCell ref="B68:I68"/>
    <mergeCell ref="B69:I69"/>
    <mergeCell ref="B70:I70"/>
  </mergeCells>
  <dataValidations count="1">
    <dataValidation type="list" sqref="E5" xr:uid="{08864970-B4C2-4DFE-AF17-B7513F7CF5C0}">
      <formula1>"Normalweight,Sand-lightweight,All-lightweight"</formula1>
    </dataValidation>
  </dataValidations>
  <pageMargins left="0.75" right="0.75" top="1" bottom="1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FF39-06ED-459F-B001-C90FD3A90E04}">
  <sheetPr>
    <pageSetUpPr fitToPage="1"/>
  </sheetPr>
  <dimension ref="A1:I114"/>
  <sheetViews>
    <sheetView showGridLines="0" workbookViewId="0">
      <pane ySplit="3" topLeftCell="A4" activePane="bottomLeft" state="frozen"/>
      <selection pane="bottomLeft"/>
    </sheetView>
  </sheetViews>
  <sheetFormatPr defaultRowHeight="14.4" x14ac:dyDescent="0.3"/>
  <cols>
    <col min="1" max="1" width="5.5546875" customWidth="1"/>
    <col min="2" max="2" width="30" customWidth="1"/>
    <col min="3" max="3" width="13" customWidth="1"/>
    <col min="5" max="5" width="14" customWidth="1"/>
    <col min="6" max="6" width="11" customWidth="1"/>
    <col min="7" max="7" width="30" customWidth="1"/>
    <col min="8" max="8" width="2.44140625" customWidth="1"/>
    <col min="9" max="9" width="52" customWidth="1"/>
    <col min="10" max="10" width="12" customWidth="1"/>
  </cols>
  <sheetData>
    <row r="1" spans="1:9" ht="21" x14ac:dyDescent="0.4">
      <c r="A1" s="33" t="s">
        <v>98</v>
      </c>
      <c r="B1" s="30"/>
      <c r="C1" s="30"/>
      <c r="D1" s="30"/>
      <c r="E1" s="30"/>
      <c r="F1" s="30"/>
      <c r="G1" s="30"/>
      <c r="H1" s="30"/>
      <c r="I1" s="30"/>
    </row>
    <row r="2" spans="1:9" ht="15.6" x14ac:dyDescent="0.3">
      <c r="A2" s="34" t="s">
        <v>99</v>
      </c>
      <c r="B2" s="30"/>
      <c r="C2" s="30"/>
      <c r="D2" s="30"/>
      <c r="E2" s="30"/>
      <c r="F2" s="30"/>
      <c r="G2" s="30"/>
      <c r="H2" s="30"/>
      <c r="I2" s="30"/>
    </row>
    <row r="4" spans="1:9" ht="15.6" x14ac:dyDescent="0.3">
      <c r="A4" s="29" t="s">
        <v>100</v>
      </c>
      <c r="B4" s="30"/>
      <c r="C4" s="30"/>
      <c r="D4" s="30"/>
      <c r="E4" s="30"/>
      <c r="F4" s="30"/>
      <c r="G4" s="30"/>
      <c r="H4" s="30"/>
      <c r="I4" s="30"/>
    </row>
    <row r="5" spans="1:9" ht="15.6" x14ac:dyDescent="0.3">
      <c r="B5" s="31" t="s">
        <v>101</v>
      </c>
      <c r="C5" s="30"/>
      <c r="D5" s="3" t="s">
        <v>102</v>
      </c>
      <c r="E5" s="7">
        <v>14</v>
      </c>
      <c r="F5" s="2" t="s">
        <v>103</v>
      </c>
    </row>
    <row r="6" spans="1:9" ht="15.6" x14ac:dyDescent="0.3">
      <c r="B6" s="31" t="s">
        <v>104</v>
      </c>
      <c r="C6" s="30"/>
      <c r="D6" s="3" t="s">
        <v>105</v>
      </c>
      <c r="E6" s="7">
        <v>24</v>
      </c>
      <c r="F6" s="2" t="s">
        <v>103</v>
      </c>
    </row>
    <row r="7" spans="1:9" ht="15.6" x14ac:dyDescent="0.3">
      <c r="B7" s="31" t="s">
        <v>106</v>
      </c>
      <c r="C7" s="30"/>
      <c r="D7" s="3" t="s">
        <v>107</v>
      </c>
      <c r="E7" s="10">
        <v>20</v>
      </c>
      <c r="F7" s="2" t="s">
        <v>108</v>
      </c>
    </row>
    <row r="8" spans="1:9" ht="15.6" x14ac:dyDescent="0.3">
      <c r="B8" s="31" t="s">
        <v>109</v>
      </c>
      <c r="C8" s="30"/>
      <c r="D8" s="3" t="s">
        <v>110</v>
      </c>
      <c r="E8" s="7">
        <v>12</v>
      </c>
      <c r="F8" s="2" t="s">
        <v>103</v>
      </c>
    </row>
    <row r="9" spans="1:9" ht="15.6" x14ac:dyDescent="0.3">
      <c r="B9" s="31" t="s">
        <v>111</v>
      </c>
      <c r="C9" s="30"/>
      <c r="D9" s="3" t="s">
        <v>46</v>
      </c>
      <c r="E9" s="7">
        <v>4000</v>
      </c>
      <c r="F9" s="2" t="s">
        <v>16</v>
      </c>
      <c r="I9" s="5" t="s">
        <v>112</v>
      </c>
    </row>
    <row r="10" spans="1:9" ht="15.6" x14ac:dyDescent="0.3">
      <c r="B10" s="31" t="s">
        <v>113</v>
      </c>
      <c r="C10" s="30"/>
      <c r="D10" s="3" t="s">
        <v>114</v>
      </c>
      <c r="E10" s="7">
        <v>60000</v>
      </c>
      <c r="F10" s="2" t="s">
        <v>16</v>
      </c>
      <c r="I10" s="5" t="s">
        <v>115</v>
      </c>
    </row>
    <row r="11" spans="1:9" ht="15.6" x14ac:dyDescent="0.3">
      <c r="B11" s="31" t="s">
        <v>116</v>
      </c>
      <c r="C11" s="30"/>
      <c r="D11" s="3" t="s">
        <v>117</v>
      </c>
      <c r="E11" s="7">
        <v>60000</v>
      </c>
      <c r="F11" s="2" t="s">
        <v>16</v>
      </c>
      <c r="I11" s="5" t="s">
        <v>118</v>
      </c>
    </row>
    <row r="12" spans="1:9" ht="15.6" x14ac:dyDescent="0.3">
      <c r="B12" s="31" t="s">
        <v>119</v>
      </c>
      <c r="C12" s="30"/>
      <c r="D12" s="3" t="s">
        <v>4</v>
      </c>
      <c r="E12" s="4" t="s">
        <v>63</v>
      </c>
      <c r="I12" s="5" t="s">
        <v>120</v>
      </c>
    </row>
    <row r="13" spans="1:9" ht="15.6" x14ac:dyDescent="0.3">
      <c r="B13" s="31" t="s">
        <v>121</v>
      </c>
      <c r="C13" s="30"/>
      <c r="D13" s="3" t="s">
        <v>4</v>
      </c>
      <c r="E13" s="4" t="s">
        <v>86</v>
      </c>
    </row>
    <row r="14" spans="1:9" ht="15.6" x14ac:dyDescent="0.3">
      <c r="B14" s="31" t="s">
        <v>122</v>
      </c>
      <c r="C14" s="30"/>
      <c r="D14" s="3" t="s">
        <v>123</v>
      </c>
      <c r="E14" s="7">
        <v>3</v>
      </c>
      <c r="F14" s="2" t="s">
        <v>124</v>
      </c>
    </row>
    <row r="15" spans="1:9" ht="15.6" x14ac:dyDescent="0.3">
      <c r="B15" s="31" t="s">
        <v>125</v>
      </c>
      <c r="C15" s="30"/>
      <c r="D15" s="3" t="s">
        <v>4</v>
      </c>
      <c r="E15" s="4" t="s">
        <v>82</v>
      </c>
    </row>
    <row r="16" spans="1:9" ht="15.6" x14ac:dyDescent="0.3">
      <c r="B16" s="31" t="s">
        <v>126</v>
      </c>
      <c r="C16" s="30"/>
      <c r="D16" s="3" t="s">
        <v>4</v>
      </c>
      <c r="E16" s="7">
        <v>2</v>
      </c>
      <c r="F16" s="2" t="s">
        <v>127</v>
      </c>
    </row>
    <row r="17" spans="1:9" ht="15.6" x14ac:dyDescent="0.3">
      <c r="B17" s="31" t="s">
        <v>128</v>
      </c>
      <c r="C17" s="30"/>
      <c r="D17" s="3" t="s">
        <v>4</v>
      </c>
      <c r="E17" s="10">
        <v>0.75</v>
      </c>
      <c r="F17" s="2" t="s">
        <v>103</v>
      </c>
      <c r="I17" s="5" t="s">
        <v>129</v>
      </c>
    </row>
    <row r="19" spans="1:9" ht="15.6" x14ac:dyDescent="0.3">
      <c r="A19" s="29" t="s">
        <v>130</v>
      </c>
      <c r="B19" s="30"/>
      <c r="C19" s="30"/>
      <c r="D19" s="30"/>
      <c r="E19" s="30"/>
      <c r="F19" s="30"/>
      <c r="G19" s="30"/>
      <c r="H19" s="30"/>
      <c r="I19" s="30"/>
    </row>
    <row r="20" spans="1:9" ht="15.6" x14ac:dyDescent="0.3">
      <c r="B20" s="31" t="s">
        <v>131</v>
      </c>
      <c r="C20" s="30"/>
      <c r="D20" s="3" t="s">
        <v>132</v>
      </c>
      <c r="E20" s="6">
        <f>VLOOKUP(E12,Parameters!$B$39:$C$43,2,FALSE())</f>
        <v>1.5</v>
      </c>
      <c r="F20" s="2" t="s">
        <v>103</v>
      </c>
      <c r="I20" s="5" t="s">
        <v>133</v>
      </c>
    </row>
    <row r="21" spans="1:9" ht="15.6" x14ac:dyDescent="0.3">
      <c r="B21" s="31" t="s">
        <v>134</v>
      </c>
      <c r="C21" s="30"/>
      <c r="D21" s="3" t="s">
        <v>135</v>
      </c>
      <c r="E21" s="18">
        <f>VLOOKUP(E13,Parameters!$B$54:$D$64,2,FALSE())</f>
        <v>0.875</v>
      </c>
      <c r="F21" s="2" t="s">
        <v>103</v>
      </c>
    </row>
    <row r="22" spans="1:9" ht="15.6" x14ac:dyDescent="0.3">
      <c r="B22" s="31" t="s">
        <v>136</v>
      </c>
      <c r="C22" s="30"/>
      <c r="D22" s="3" t="s">
        <v>137</v>
      </c>
      <c r="E22" s="6">
        <f>VLOOKUP(E13,Parameters!$B$54:$D$64,3,FALSE())</f>
        <v>0.6</v>
      </c>
      <c r="F22" s="2" t="s">
        <v>138</v>
      </c>
    </row>
    <row r="23" spans="1:9" ht="15.6" x14ac:dyDescent="0.3">
      <c r="B23" s="31" t="s">
        <v>139</v>
      </c>
      <c r="C23" s="30"/>
      <c r="D23" s="3" t="s">
        <v>135</v>
      </c>
      <c r="E23" s="18">
        <f>VLOOKUP(E15,Parameters!$B$54:$D$64,2,FALSE())</f>
        <v>0.375</v>
      </c>
      <c r="F23" s="2" t="s">
        <v>103</v>
      </c>
    </row>
    <row r="24" spans="1:9" ht="15.6" x14ac:dyDescent="0.3">
      <c r="B24" s="31" t="s">
        <v>140</v>
      </c>
      <c r="C24" s="30"/>
      <c r="D24" s="3" t="s">
        <v>137</v>
      </c>
      <c r="E24" s="6">
        <f>VLOOKUP(E15,Parameters!$B$54:$D$64,3,FALSE())</f>
        <v>0.11</v>
      </c>
      <c r="F24" s="2" t="s">
        <v>138</v>
      </c>
    </row>
    <row r="25" spans="1:9" ht="15.6" x14ac:dyDescent="0.3">
      <c r="B25" s="31" t="s">
        <v>141</v>
      </c>
      <c r="C25" s="30"/>
      <c r="D25" s="3" t="s">
        <v>142</v>
      </c>
      <c r="E25" s="6">
        <f>E6-E20-E23-E21/2</f>
        <v>21.6875</v>
      </c>
      <c r="F25" s="2" t="s">
        <v>103</v>
      </c>
      <c r="I25" s="5" t="s">
        <v>143</v>
      </c>
    </row>
    <row r="26" spans="1:9" ht="15.6" x14ac:dyDescent="0.3">
      <c r="B26" s="31" t="s">
        <v>144</v>
      </c>
      <c r="C26" s="30"/>
      <c r="D26" s="3" t="s">
        <v>145</v>
      </c>
      <c r="E26" s="6">
        <f>E25</f>
        <v>21.6875</v>
      </c>
      <c r="F26" s="2" t="s">
        <v>103</v>
      </c>
      <c r="I26" s="5" t="s">
        <v>146</v>
      </c>
    </row>
    <row r="27" spans="1:9" ht="15.6" x14ac:dyDescent="0.3">
      <c r="B27" s="31" t="s">
        <v>147</v>
      </c>
      <c r="C27" s="30"/>
      <c r="D27" s="3" t="s">
        <v>148</v>
      </c>
      <c r="E27" s="18">
        <f>E7+MIN(E6,E8)/12</f>
        <v>21</v>
      </c>
      <c r="F27" s="2" t="s">
        <v>108</v>
      </c>
      <c r="I27" s="5" t="s">
        <v>149</v>
      </c>
    </row>
    <row r="29" spans="1:9" ht="15.6" x14ac:dyDescent="0.3">
      <c r="A29" s="29" t="s">
        <v>150</v>
      </c>
      <c r="B29" s="30"/>
      <c r="C29" s="30"/>
      <c r="D29" s="30"/>
      <c r="E29" s="30"/>
      <c r="F29" s="30"/>
      <c r="G29" s="30"/>
      <c r="H29" s="30"/>
      <c r="I29" s="30"/>
    </row>
    <row r="30" spans="1:9" ht="15.6" x14ac:dyDescent="0.3">
      <c r="B30" s="31" t="s">
        <v>151</v>
      </c>
      <c r="C30" s="30"/>
      <c r="D30" s="3" t="s">
        <v>47</v>
      </c>
      <c r="E30" s="18">
        <f>VLOOKUP(E9,Parameters!$B$27:$F$35,2,FALSE())</f>
        <v>0.85</v>
      </c>
      <c r="I30" s="5" t="s">
        <v>152</v>
      </c>
    </row>
    <row r="31" spans="1:9" ht="15.6" x14ac:dyDescent="0.3">
      <c r="B31" s="31" t="s">
        <v>153</v>
      </c>
      <c r="C31" s="30"/>
      <c r="D31" s="3" t="s">
        <v>48</v>
      </c>
      <c r="E31" s="19">
        <f>SQRT(E9)</f>
        <v>63.245553203367585</v>
      </c>
      <c r="F31" s="2" t="s">
        <v>16</v>
      </c>
      <c r="I31" s="5" t="s">
        <v>154</v>
      </c>
    </row>
    <row r="32" spans="1:9" ht="15.6" x14ac:dyDescent="0.3">
      <c r="B32" s="31" t="s">
        <v>155</v>
      </c>
      <c r="C32" s="30"/>
      <c r="D32" s="3" t="s">
        <v>49</v>
      </c>
      <c r="E32" s="8">
        <f>VLOOKUP(E9,Parameters!$B$27:$F$35,4,FALSE())</f>
        <v>3604.9965325919525</v>
      </c>
      <c r="F32" s="2" t="s">
        <v>156</v>
      </c>
      <c r="I32" s="5" t="s">
        <v>157</v>
      </c>
    </row>
    <row r="33" spans="1:9" ht="15.6" x14ac:dyDescent="0.3">
      <c r="B33" s="31" t="s">
        <v>158</v>
      </c>
      <c r="C33" s="30"/>
      <c r="D33" s="3" t="s">
        <v>50</v>
      </c>
      <c r="E33" s="8">
        <f>VLOOKUP(E9,Parameters!$B$27:$F$35,5,FALSE())</f>
        <v>474.34164902525691</v>
      </c>
      <c r="F33" s="2" t="s">
        <v>16</v>
      </c>
      <c r="I33" s="5" t="s">
        <v>159</v>
      </c>
    </row>
    <row r="34" spans="1:9" ht="15.6" x14ac:dyDescent="0.3">
      <c r="B34" s="31" t="s">
        <v>160</v>
      </c>
      <c r="C34" s="30"/>
      <c r="D34" s="3" t="s">
        <v>161</v>
      </c>
      <c r="E34" s="20">
        <f>E10/Parameters!$E$8</f>
        <v>2.0689655172413794E-3</v>
      </c>
      <c r="I34" s="5" t="s">
        <v>162</v>
      </c>
    </row>
    <row r="35" spans="1:9" ht="15.6" x14ac:dyDescent="0.3">
      <c r="B35" s="31" t="s">
        <v>7</v>
      </c>
      <c r="C35" s="30"/>
      <c r="D35" s="3" t="s">
        <v>8</v>
      </c>
      <c r="E35" s="6">
        <f>Parameters!$E$6</f>
        <v>1</v>
      </c>
      <c r="I35" s="5" t="s">
        <v>163</v>
      </c>
    </row>
    <row r="37" spans="1:9" ht="15.6" x14ac:dyDescent="0.3">
      <c r="A37" s="29" t="s">
        <v>164</v>
      </c>
      <c r="B37" s="30"/>
      <c r="C37" s="30"/>
      <c r="D37" s="30"/>
      <c r="E37" s="30"/>
      <c r="F37" s="30"/>
      <c r="G37" s="30"/>
      <c r="H37" s="30"/>
      <c r="I37" s="30"/>
    </row>
    <row r="38" spans="1:9" ht="15.6" x14ac:dyDescent="0.3">
      <c r="B38" s="31" t="s">
        <v>165</v>
      </c>
      <c r="C38" s="30"/>
      <c r="D38" s="3" t="s">
        <v>166</v>
      </c>
      <c r="E38" s="21">
        <v>0.8</v>
      </c>
      <c r="F38" s="2" t="s">
        <v>167</v>
      </c>
    </row>
    <row r="39" spans="1:9" ht="15.6" x14ac:dyDescent="0.3">
      <c r="B39" s="31" t="s">
        <v>43</v>
      </c>
      <c r="C39" s="30"/>
      <c r="D39" s="3" t="s">
        <v>168</v>
      </c>
      <c r="E39" s="21">
        <v>1</v>
      </c>
      <c r="F39" s="2" t="s">
        <v>167</v>
      </c>
    </row>
    <row r="40" spans="1:9" ht="15.6" x14ac:dyDescent="0.3">
      <c r="B40" s="31" t="s">
        <v>169</v>
      </c>
      <c r="C40" s="30"/>
      <c r="D40" s="3" t="s">
        <v>170</v>
      </c>
      <c r="E40" s="18">
        <f>Parameters!$E$7*E5*E6/144/1000</f>
        <v>0.35</v>
      </c>
      <c r="F40" s="2" t="s">
        <v>167</v>
      </c>
      <c r="I40" s="5" t="s">
        <v>171</v>
      </c>
    </row>
    <row r="41" spans="1:9" ht="15.6" x14ac:dyDescent="0.3">
      <c r="B41" s="31" t="s">
        <v>172</v>
      </c>
      <c r="C41" s="30"/>
      <c r="D41" s="3" t="s">
        <v>173</v>
      </c>
      <c r="E41" s="18">
        <f>E38+E40</f>
        <v>1.1499999999999999</v>
      </c>
      <c r="F41" s="2" t="s">
        <v>167</v>
      </c>
    </row>
    <row r="42" spans="1:9" ht="15.6" x14ac:dyDescent="0.3">
      <c r="B42" s="31" t="s">
        <v>174</v>
      </c>
      <c r="C42" s="30"/>
      <c r="D42" s="3" t="s">
        <v>175</v>
      </c>
      <c r="E42" s="18">
        <f>MAX(Parameters!$E$21*E41,Parameters!$E$22*E41+Parameters!$E$23*E39)</f>
        <v>2.98</v>
      </c>
      <c r="F42" s="2" t="s">
        <v>167</v>
      </c>
      <c r="I42" s="5" t="s">
        <v>176</v>
      </c>
    </row>
    <row r="43" spans="1:9" ht="15.6" x14ac:dyDescent="0.3">
      <c r="B43" s="31" t="s">
        <v>177</v>
      </c>
      <c r="C43" s="30"/>
      <c r="D43" s="3" t="s">
        <v>178</v>
      </c>
      <c r="E43" s="19">
        <f>E42*E27^2/8</f>
        <v>164.27250000000001</v>
      </c>
      <c r="F43" s="2" t="s">
        <v>179</v>
      </c>
      <c r="I43" s="5" t="s">
        <v>180</v>
      </c>
    </row>
    <row r="44" spans="1:9" ht="15.6" x14ac:dyDescent="0.3">
      <c r="B44" s="31" t="s">
        <v>181</v>
      </c>
      <c r="C44" s="30"/>
      <c r="D44" s="3" t="s">
        <v>182</v>
      </c>
      <c r="E44" s="19">
        <f>E42*E27/2</f>
        <v>31.29</v>
      </c>
      <c r="F44" s="2" t="s">
        <v>183</v>
      </c>
    </row>
    <row r="45" spans="1:9" ht="15.6" x14ac:dyDescent="0.3">
      <c r="B45" s="31" t="s">
        <v>184</v>
      </c>
      <c r="C45" s="30"/>
      <c r="D45" s="3" t="s">
        <v>185</v>
      </c>
      <c r="E45" s="19">
        <f>E42*(E27/2-E8/24-E25/12)</f>
        <v>24.414270833333337</v>
      </c>
      <c r="F45" s="2" t="s">
        <v>183</v>
      </c>
      <c r="I45" s="5" t="s">
        <v>186</v>
      </c>
    </row>
    <row r="47" spans="1:9" ht="15.6" x14ac:dyDescent="0.3">
      <c r="A47" s="29" t="s">
        <v>187</v>
      </c>
      <c r="B47" s="30"/>
      <c r="C47" s="30"/>
      <c r="D47" s="30"/>
      <c r="E47" s="30"/>
      <c r="F47" s="30"/>
      <c r="G47" s="30"/>
      <c r="H47" s="30"/>
      <c r="I47" s="30"/>
    </row>
    <row r="48" spans="1:9" ht="15.6" x14ac:dyDescent="0.3">
      <c r="B48" s="31" t="s">
        <v>188</v>
      </c>
      <c r="C48" s="30"/>
      <c r="D48" s="3" t="s">
        <v>189</v>
      </c>
      <c r="E48" s="19">
        <f>E43*12000/(Parameters!$E$13*E5*E25^2)</f>
        <v>332.62629869860228</v>
      </c>
      <c r="F48" s="2" t="s">
        <v>16</v>
      </c>
      <c r="I48" s="5" t="s">
        <v>190</v>
      </c>
    </row>
    <row r="49" spans="1:9" ht="15.6" x14ac:dyDescent="0.3">
      <c r="B49" s="31" t="s">
        <v>191</v>
      </c>
      <c r="C49" s="30"/>
      <c r="D49" s="3" t="s">
        <v>192</v>
      </c>
      <c r="E49" s="20">
        <f>0.85*E9/E10*(1-SQRT(MAX(0,1-2*E48/(0.85*E9))))</f>
        <v>5.8452441034691199E-3</v>
      </c>
      <c r="I49" s="5" t="s">
        <v>193</v>
      </c>
    </row>
    <row r="50" spans="1:9" ht="15.6" x14ac:dyDescent="0.3">
      <c r="B50" s="31" t="s">
        <v>194</v>
      </c>
      <c r="C50" s="30"/>
      <c r="D50" s="3" t="s">
        <v>195</v>
      </c>
      <c r="E50" s="18">
        <f>E49*E5*E25</f>
        <v>1.7747622409158115</v>
      </c>
      <c r="F50" s="2" t="s">
        <v>138</v>
      </c>
    </row>
    <row r="51" spans="1:9" ht="15.6" x14ac:dyDescent="0.3">
      <c r="B51" s="31" t="s">
        <v>196</v>
      </c>
      <c r="C51" s="30"/>
      <c r="D51" s="3" t="s">
        <v>197</v>
      </c>
      <c r="E51" s="18">
        <f>MAX(3*E31/E10,200/E10)*E5*E25</f>
        <v>1.0120833333333334</v>
      </c>
      <c r="F51" s="2" t="s">
        <v>138</v>
      </c>
      <c r="I51" s="5" t="s">
        <v>198</v>
      </c>
    </row>
    <row r="52" spans="1:9" ht="15.6" x14ac:dyDescent="0.3">
      <c r="B52" s="31" t="s">
        <v>199</v>
      </c>
      <c r="C52" s="30"/>
      <c r="D52" s="3" t="s">
        <v>200</v>
      </c>
      <c r="E52" s="18">
        <f>E14*E22</f>
        <v>1.7999999999999998</v>
      </c>
      <c r="F52" s="2" t="s">
        <v>138</v>
      </c>
      <c r="G52" s="22" t="str">
        <f>IF(E14*E22&gt;=MAX(E50,E51),"OK — As,prov ≥ max(As,req ; As,min)","NOT OK — add or enlarge the bars")</f>
        <v>OK — As,prov ≥ max(As,req ; As,min)</v>
      </c>
    </row>
    <row r="53" spans="1:9" ht="15.6" x14ac:dyDescent="0.3">
      <c r="B53" s="31" t="s">
        <v>201</v>
      </c>
      <c r="C53" s="30"/>
      <c r="D53" s="3" t="s">
        <v>202</v>
      </c>
      <c r="E53" s="6">
        <f>E52*E10/(0.85*E9*E5)</f>
        <v>2.2689075630252096</v>
      </c>
      <c r="F53" s="2" t="s">
        <v>103</v>
      </c>
      <c r="I53" s="5" t="s">
        <v>203</v>
      </c>
    </row>
    <row r="54" spans="1:9" ht="15.6" x14ac:dyDescent="0.3">
      <c r="B54" s="31" t="s">
        <v>204</v>
      </c>
      <c r="C54" s="30"/>
      <c r="D54" s="3" t="s">
        <v>205</v>
      </c>
      <c r="E54" s="6">
        <f>E53/E30</f>
        <v>2.6693030153237762</v>
      </c>
      <c r="F54" s="2" t="s">
        <v>103</v>
      </c>
      <c r="I54" s="5" t="s">
        <v>206</v>
      </c>
    </row>
    <row r="55" spans="1:9" ht="15.6" x14ac:dyDescent="0.3">
      <c r="B55" s="31" t="s">
        <v>207</v>
      </c>
      <c r="C55" s="30"/>
      <c r="D55" s="3" t="s">
        <v>208</v>
      </c>
      <c r="E55" s="20">
        <f>Parameters!$E$9*(E26-E54)/E54</f>
        <v>2.1374340277777782E-2</v>
      </c>
      <c r="G55" s="22" t="str">
        <f>IF(E55&gt;=0.005,"OK — tension-controlled, φ = 0.90",IF(E55&gt;=0.004,"OK — transition zone, φ is interpolated","NOT OK — εt &lt; 0.004 is not permitted for beams (9.3.3.1)"))</f>
        <v>OK — tension-controlled, φ = 0.90</v>
      </c>
      <c r="I55" s="5" t="s">
        <v>209</v>
      </c>
    </row>
    <row r="56" spans="1:9" ht="15.6" x14ac:dyDescent="0.3">
      <c r="B56" s="31" t="s">
        <v>210</v>
      </c>
      <c r="C56" s="30"/>
      <c r="D56" s="3" t="s">
        <v>25</v>
      </c>
      <c r="E56" s="18">
        <f>IF(E55&gt;=E34+0.003,Parameters!$E$13,IF(E55&lt;=E34,Parameters!$E$14,Parameters!$E$14+(Parameters!$E$13-Parameters!$E$14)*(E55-E34)/0.003))</f>
        <v>0.9</v>
      </c>
      <c r="I56" s="5" t="s">
        <v>211</v>
      </c>
    </row>
    <row r="57" spans="1:9" ht="15.6" x14ac:dyDescent="0.3">
      <c r="B57" s="31" t="s">
        <v>212</v>
      </c>
      <c r="C57" s="30"/>
      <c r="D57" s="3" t="s">
        <v>213</v>
      </c>
      <c r="E57" s="19">
        <f>E52*E10*(E25-E53/2)/12000</f>
        <v>184.97741596638653</v>
      </c>
      <c r="F57" s="2" t="s">
        <v>179</v>
      </c>
      <c r="I57" s="5" t="s">
        <v>214</v>
      </c>
    </row>
    <row r="58" spans="1:9" ht="15.6" x14ac:dyDescent="0.3">
      <c r="B58" s="31" t="s">
        <v>215</v>
      </c>
      <c r="C58" s="30"/>
      <c r="D58" s="3" t="s">
        <v>216</v>
      </c>
      <c r="E58" s="19">
        <f>E56*E57</f>
        <v>166.47967436974787</v>
      </c>
      <c r="F58" s="2" t="s">
        <v>179</v>
      </c>
      <c r="G58" s="22" t="str">
        <f>IF(E58&gt;=E43,"OK — φMn ≥ Mu","NOT OK — increase d, As or f'c")</f>
        <v>OK — φMn ≥ Mu</v>
      </c>
    </row>
    <row r="59" spans="1:9" ht="15.6" x14ac:dyDescent="0.3">
      <c r="B59" s="31" t="s">
        <v>217</v>
      </c>
      <c r="C59" s="30"/>
      <c r="D59" s="3" t="s">
        <v>218</v>
      </c>
      <c r="E59" s="6">
        <f>IF(E14&gt;1,(E5-2*E20-2*E23-E14*E21)/(E14-1),99)</f>
        <v>3.8125</v>
      </c>
      <c r="F59" s="2" t="s">
        <v>103</v>
      </c>
      <c r="G59" s="22" t="str">
        <f>IF(E59&gt;=MAX(1,E21,4/3*E17),"OK — bars fit in one layer","NOT OK — reduce n, widen b, or use two layers")</f>
        <v>OK — bars fit in one layer</v>
      </c>
    </row>
    <row r="60" spans="1:9" x14ac:dyDescent="0.3">
      <c r="B60" s="32" t="s">
        <v>219</v>
      </c>
      <c r="C60" s="30"/>
      <c r="D60" s="30"/>
      <c r="E60" s="30"/>
      <c r="F60" s="30"/>
      <c r="G60" s="30"/>
      <c r="H60" s="30"/>
      <c r="I60" s="30"/>
    </row>
    <row r="62" spans="1:9" ht="15.6" x14ac:dyDescent="0.3">
      <c r="A62" s="29" t="s">
        <v>220</v>
      </c>
      <c r="B62" s="30"/>
      <c r="C62" s="30"/>
      <c r="D62" s="30"/>
      <c r="E62" s="30"/>
      <c r="F62" s="30"/>
      <c r="G62" s="30"/>
      <c r="H62" s="30"/>
      <c r="I62" s="30"/>
    </row>
    <row r="63" spans="1:9" ht="15.6" x14ac:dyDescent="0.3">
      <c r="B63" s="31" t="s">
        <v>221</v>
      </c>
      <c r="C63" s="30"/>
      <c r="D63" s="3" t="s">
        <v>222</v>
      </c>
      <c r="E63" s="20">
        <f>E52/(E5*E25)</f>
        <v>5.9283655825442564E-3</v>
      </c>
    </row>
    <row r="64" spans="1:9" ht="15.6" x14ac:dyDescent="0.3">
      <c r="B64" s="31" t="s">
        <v>223</v>
      </c>
      <c r="C64" s="30"/>
      <c r="D64" s="3" t="s">
        <v>224</v>
      </c>
      <c r="E64" s="6">
        <f>E16*E24</f>
        <v>0.22</v>
      </c>
      <c r="F64" s="2" t="s">
        <v>138</v>
      </c>
    </row>
    <row r="65" spans="1:9" ht="15.6" x14ac:dyDescent="0.3">
      <c r="B65" s="31" t="s">
        <v>225</v>
      </c>
      <c r="C65" s="30"/>
      <c r="D65" s="3" t="s">
        <v>226</v>
      </c>
      <c r="E65" s="9">
        <f>MAX(0.75*E31*E5/E11,50*E5/E11)</f>
        <v>1.1666666666666667E-2</v>
      </c>
      <c r="F65" s="2" t="s">
        <v>227</v>
      </c>
      <c r="I65" s="5" t="s">
        <v>228</v>
      </c>
    </row>
    <row r="66" spans="1:9" ht="15.6" x14ac:dyDescent="0.3">
      <c r="B66" s="31" t="s">
        <v>229</v>
      </c>
      <c r="C66" s="30"/>
      <c r="D66" s="3" t="s">
        <v>230</v>
      </c>
      <c r="E66" s="19">
        <f>2*E35*E31*E5*E25/1000</f>
        <v>38.405862182744968</v>
      </c>
      <c r="F66" s="2" t="s">
        <v>183</v>
      </c>
      <c r="I66" s="5" t="s">
        <v>231</v>
      </c>
    </row>
    <row r="67" spans="1:9" ht="15.6" x14ac:dyDescent="0.3">
      <c r="B67" s="31" t="s">
        <v>232</v>
      </c>
      <c r="C67" s="30"/>
      <c r="D67" s="3" t="s">
        <v>233</v>
      </c>
      <c r="E67" s="19">
        <f>Parameters!$E$16*E66</f>
        <v>28.804396637058726</v>
      </c>
      <c r="F67" s="2" t="s">
        <v>183</v>
      </c>
    </row>
    <row r="68" spans="1:9" ht="15.6" x14ac:dyDescent="0.3">
      <c r="B68" s="40" t="str">
        <f>IF(E45&lt;=Parameters!$E$16*E66/2,"Vu ≤ φVc/2 — shear reinforcement is not required by 9.6.3.1, but stirrups are provided below.",IF(E45&lt;=E67,"φVc/2 &lt; Vu ≤ φVc — minimum shear reinforcement governs (9.6.3.1).","Vu &gt; φVc — shear reinforcement must be designed for the excess."))</f>
        <v>φVc/2 &lt; Vu ≤ φVc — minimum shear reinforcement governs (9.6.3.1).</v>
      </c>
      <c r="C68" s="30"/>
      <c r="D68" s="30"/>
      <c r="E68" s="30"/>
      <c r="F68" s="30"/>
      <c r="G68" s="30"/>
    </row>
    <row r="69" spans="1:9" ht="15.6" x14ac:dyDescent="0.3">
      <c r="B69" s="31" t="s">
        <v>234</v>
      </c>
      <c r="C69" s="30"/>
      <c r="D69" s="3" t="s">
        <v>235</v>
      </c>
      <c r="E69" s="19">
        <f>MAX(0,E45/Parameters!$E$16-E66)</f>
        <v>0</v>
      </c>
      <c r="F69" s="2" t="s">
        <v>183</v>
      </c>
      <c r="I69" s="5" t="s">
        <v>236</v>
      </c>
    </row>
    <row r="70" spans="1:9" ht="15.6" x14ac:dyDescent="0.3">
      <c r="B70" s="31" t="s">
        <v>237</v>
      </c>
      <c r="C70" s="30"/>
      <c r="D70" s="3" t="s">
        <v>238</v>
      </c>
      <c r="E70" s="19">
        <f>8*E31*E5*E25/1000</f>
        <v>153.62344873097987</v>
      </c>
      <c r="F70" s="2" t="s">
        <v>183</v>
      </c>
      <c r="G70" s="22" t="str">
        <f>IF(E69&lt;=E70,"OK — section is large enough for the shear","NOT OK — increase b, d or f'c")</f>
        <v>OK — section is large enough for the shear</v>
      </c>
      <c r="I70" s="5" t="s">
        <v>239</v>
      </c>
    </row>
    <row r="71" spans="1:9" ht="15.6" x14ac:dyDescent="0.3">
      <c r="B71" s="31" t="s">
        <v>240</v>
      </c>
      <c r="C71" s="30"/>
      <c r="D71" s="3" t="s">
        <v>241</v>
      </c>
      <c r="E71" s="19">
        <f>IF(E69&gt;0,E64*E11*E25/1000/E69,999)</f>
        <v>999</v>
      </c>
      <c r="F71" s="2" t="s">
        <v>103</v>
      </c>
      <c r="I71" s="5" t="s">
        <v>242</v>
      </c>
    </row>
    <row r="72" spans="1:9" ht="15.6" x14ac:dyDescent="0.3">
      <c r="B72" s="31" t="s">
        <v>243</v>
      </c>
      <c r="C72" s="30"/>
      <c r="D72" s="3" t="s">
        <v>244</v>
      </c>
      <c r="E72" s="19">
        <f>E64/E65</f>
        <v>18.857142857142858</v>
      </c>
      <c r="F72" s="2" t="s">
        <v>103</v>
      </c>
    </row>
    <row r="73" spans="1:9" ht="15.6" x14ac:dyDescent="0.3">
      <c r="B73" s="31" t="s">
        <v>245</v>
      </c>
      <c r="C73" s="30"/>
      <c r="D73" s="3" t="s">
        <v>246</v>
      </c>
      <c r="E73" s="19">
        <f>IF(E69&lt;=4*E31*E5*E25/1000,MIN(E25/2,24),MIN(E25/4,12))</f>
        <v>10.84375</v>
      </c>
      <c r="F73" s="2" t="s">
        <v>103</v>
      </c>
      <c r="I73" s="5" t="s">
        <v>247</v>
      </c>
    </row>
    <row r="74" spans="1:9" ht="15.6" x14ac:dyDescent="0.3">
      <c r="B74" s="31" t="s">
        <v>248</v>
      </c>
      <c r="C74" s="30"/>
      <c r="D74" s="3" t="s">
        <v>249</v>
      </c>
      <c r="E74" s="8">
        <f>FLOOR(MIN(E71,E72,E73),1)</f>
        <v>10</v>
      </c>
      <c r="F74" s="2" t="s">
        <v>250</v>
      </c>
    </row>
    <row r="75" spans="1:9" ht="15.6" x14ac:dyDescent="0.3">
      <c r="B75" s="31" t="s">
        <v>251</v>
      </c>
      <c r="C75" s="30"/>
      <c r="D75" s="3" t="s">
        <v>252</v>
      </c>
      <c r="E75" s="19">
        <f>E64*E11*E25/E74/1000</f>
        <v>28.627500000000001</v>
      </c>
      <c r="F75" s="2" t="s">
        <v>183</v>
      </c>
    </row>
    <row r="76" spans="1:9" ht="15.6" x14ac:dyDescent="0.3">
      <c r="B76" s="31" t="s">
        <v>253</v>
      </c>
      <c r="C76" s="30"/>
      <c r="D76" s="3" t="s">
        <v>254</v>
      </c>
      <c r="E76" s="19">
        <f>Parameters!$E$16*(E66+E75)</f>
        <v>50.275021637058728</v>
      </c>
      <c r="F76" s="2" t="s">
        <v>183</v>
      </c>
      <c r="G76" s="22" t="str">
        <f>IF(E76&gt;=E45,"OK — φVn ≥ Vu","NOT OK — reduce the stirrup spacing")</f>
        <v>OK — φVn ≥ Vu</v>
      </c>
    </row>
    <row r="78" spans="1:9" ht="15.6" x14ac:dyDescent="0.3">
      <c r="A78" s="29" t="s">
        <v>255</v>
      </c>
      <c r="B78" s="30"/>
      <c r="C78" s="30"/>
      <c r="D78" s="30"/>
      <c r="E78" s="30"/>
      <c r="F78" s="30"/>
      <c r="G78" s="30"/>
      <c r="H78" s="30"/>
      <c r="I78" s="30"/>
    </row>
    <row r="79" spans="1:9" ht="15.6" x14ac:dyDescent="0.3">
      <c r="B79" s="31" t="s">
        <v>68</v>
      </c>
      <c r="C79" s="30"/>
      <c r="D79" s="3" t="s">
        <v>4</v>
      </c>
      <c r="E79" s="4" t="s">
        <v>72</v>
      </c>
    </row>
    <row r="80" spans="1:9" ht="15.6" x14ac:dyDescent="0.3">
      <c r="B80" s="31" t="s">
        <v>256</v>
      </c>
      <c r="C80" s="30"/>
      <c r="D80" s="3" t="s">
        <v>257</v>
      </c>
      <c r="E80" s="19">
        <f>VLOOKUP(E79,Parameters!$B$47:$D$50,2,FALSE())</f>
        <v>16</v>
      </c>
      <c r="I80" s="5" t="s">
        <v>258</v>
      </c>
    </row>
    <row r="81" spans="1:9" ht="15.6" x14ac:dyDescent="0.3">
      <c r="B81" s="31" t="s">
        <v>259</v>
      </c>
      <c r="C81" s="30"/>
      <c r="D81" s="3" t="s">
        <v>4</v>
      </c>
      <c r="E81" s="18">
        <f>IF(E10=60000,1,0.4+E10/100000)</f>
        <v>1</v>
      </c>
      <c r="I81" s="5" t="s">
        <v>260</v>
      </c>
    </row>
    <row r="82" spans="1:9" ht="15.6" x14ac:dyDescent="0.3">
      <c r="B82" s="31" t="s">
        <v>261</v>
      </c>
      <c r="C82" s="30"/>
      <c r="D82" s="3" t="s">
        <v>262</v>
      </c>
      <c r="E82" s="6">
        <f>E27*12/E80*E81</f>
        <v>15.75</v>
      </c>
      <c r="F82" s="2" t="s">
        <v>103</v>
      </c>
      <c r="G82" s="22" t="str">
        <f>IF(E6&gt;=E82,"OK — deflection satisfied by the thickness rule","NOT OK — increase h or calculate the deflection (24.2)")</f>
        <v>OK — deflection satisfied by the thickness rule</v>
      </c>
    </row>
    <row r="83" spans="1:9" x14ac:dyDescent="0.3">
      <c r="B83" s="32" t="s">
        <v>263</v>
      </c>
      <c r="C83" s="30"/>
      <c r="D83" s="30"/>
      <c r="E83" s="30"/>
      <c r="F83" s="30"/>
      <c r="G83" s="30"/>
      <c r="H83" s="30"/>
      <c r="I83" s="30"/>
    </row>
    <row r="85" spans="1:9" ht="15.6" x14ac:dyDescent="0.3">
      <c r="A85" s="29" t="s">
        <v>264</v>
      </c>
      <c r="B85" s="30"/>
      <c r="C85" s="30"/>
      <c r="D85" s="30"/>
      <c r="E85" s="30"/>
      <c r="F85" s="30"/>
      <c r="G85" s="30"/>
      <c r="H85" s="30"/>
      <c r="I85" s="30"/>
    </row>
    <row r="86" spans="1:9" ht="15.6" x14ac:dyDescent="0.3">
      <c r="B86" s="31" t="s">
        <v>265</v>
      </c>
      <c r="C86" s="30"/>
      <c r="D86" s="3" t="s">
        <v>266</v>
      </c>
      <c r="E86" s="8">
        <f>2/3*E10</f>
        <v>40000</v>
      </c>
      <c r="F86" s="2" t="s">
        <v>16</v>
      </c>
      <c r="I86" s="5" t="s">
        <v>267</v>
      </c>
    </row>
    <row r="87" spans="1:9" ht="15.6" x14ac:dyDescent="0.3">
      <c r="B87" s="31" t="s">
        <v>268</v>
      </c>
      <c r="C87" s="30"/>
      <c r="D87" s="3" t="s">
        <v>269</v>
      </c>
      <c r="E87" s="6">
        <f>E20+E23</f>
        <v>1.875</v>
      </c>
      <c r="F87" s="2" t="s">
        <v>103</v>
      </c>
      <c r="I87" s="5" t="s">
        <v>270</v>
      </c>
    </row>
    <row r="88" spans="1:9" ht="15.6" x14ac:dyDescent="0.3">
      <c r="B88" s="31" t="s">
        <v>271</v>
      </c>
      <c r="C88" s="30"/>
      <c r="D88" s="3" t="s">
        <v>246</v>
      </c>
      <c r="E88" s="6">
        <f>MIN(15*(40000/E86)-2.5*E87,12*(40000/E86))</f>
        <v>10.3125</v>
      </c>
      <c r="F88" s="2" t="s">
        <v>103</v>
      </c>
      <c r="I88" s="5" t="s">
        <v>272</v>
      </c>
    </row>
    <row r="89" spans="1:9" ht="15.6" x14ac:dyDescent="0.3">
      <c r="B89" s="31" t="s">
        <v>273</v>
      </c>
      <c r="C89" s="30"/>
      <c r="D89" s="3" t="s">
        <v>249</v>
      </c>
      <c r="E89" s="6">
        <f>IF(E14&gt;1,(E5-2*E20-2*E23-E21)/(E14-1),0)</f>
        <v>4.6875</v>
      </c>
      <c r="F89" s="2" t="s">
        <v>103</v>
      </c>
      <c r="G89" s="22" t="str">
        <f>IF(E89&lt;=E88,"OK — crack width is controlled by the bar spacing","NOT OK — use more, smaller bars")</f>
        <v>OK — crack width is controlled by the bar spacing</v>
      </c>
    </row>
    <row r="91" spans="1:9" ht="15.6" x14ac:dyDescent="0.3">
      <c r="A91" s="29" t="s">
        <v>274</v>
      </c>
      <c r="B91" s="30"/>
      <c r="C91" s="30"/>
      <c r="D91" s="30"/>
      <c r="E91" s="30"/>
      <c r="F91" s="30"/>
      <c r="G91" s="30"/>
      <c r="H91" s="30"/>
      <c r="I91" s="30"/>
    </row>
    <row r="92" spans="1:9" ht="15.6" x14ac:dyDescent="0.3">
      <c r="B92" s="31" t="s">
        <v>275</v>
      </c>
      <c r="C92" s="30"/>
      <c r="D92" s="3" t="s">
        <v>4</v>
      </c>
      <c r="E92" s="4" t="s">
        <v>276</v>
      </c>
      <c r="I92" s="5" t="s">
        <v>277</v>
      </c>
    </row>
    <row r="93" spans="1:9" ht="15.6" x14ac:dyDescent="0.3">
      <c r="B93" s="31" t="s">
        <v>278</v>
      </c>
      <c r="C93" s="30"/>
      <c r="D93" s="3" t="s">
        <v>4</v>
      </c>
      <c r="E93" s="4" t="s">
        <v>279</v>
      </c>
    </row>
    <row r="94" spans="1:9" ht="15.6" x14ac:dyDescent="0.3">
      <c r="B94" s="31" t="s">
        <v>280</v>
      </c>
      <c r="C94" s="30"/>
      <c r="D94" s="3" t="s">
        <v>281</v>
      </c>
      <c r="E94" s="6">
        <f>IF(E92="Yes",1.3,1)</f>
        <v>1</v>
      </c>
      <c r="I94" s="5" t="s">
        <v>282</v>
      </c>
    </row>
    <row r="95" spans="1:9" ht="15.6" x14ac:dyDescent="0.3">
      <c r="B95" s="31" t="s">
        <v>283</v>
      </c>
      <c r="C95" s="30"/>
      <c r="D95" s="3" t="s">
        <v>284</v>
      </c>
      <c r="E95" s="6">
        <f>IF(E93="Uncoated",1,1.5)</f>
        <v>1</v>
      </c>
      <c r="I95" s="5" t="s">
        <v>285</v>
      </c>
    </row>
    <row r="96" spans="1:9" ht="15.6" x14ac:dyDescent="0.3">
      <c r="B96" s="31" t="s">
        <v>286</v>
      </c>
      <c r="C96" s="30"/>
      <c r="D96" s="3" t="s">
        <v>4</v>
      </c>
      <c r="E96" s="6">
        <f>MIN(E94*E95,1.7)</f>
        <v>1</v>
      </c>
      <c r="I96" s="5" t="s">
        <v>287</v>
      </c>
    </row>
    <row r="97" spans="1:9" ht="15.6" x14ac:dyDescent="0.3">
      <c r="B97" s="31" t="s">
        <v>288</v>
      </c>
      <c r="C97" s="30"/>
      <c r="D97" s="3" t="s">
        <v>289</v>
      </c>
      <c r="E97" s="6">
        <f>IF(E21&lt;=0.75,0.8,1)</f>
        <v>1</v>
      </c>
      <c r="I97" s="5" t="s">
        <v>290</v>
      </c>
    </row>
    <row r="98" spans="1:9" ht="15.6" x14ac:dyDescent="0.3">
      <c r="B98" s="31" t="s">
        <v>291</v>
      </c>
      <c r="C98" s="30"/>
      <c r="D98" s="3" t="s">
        <v>292</v>
      </c>
      <c r="E98" s="6">
        <f>IF(E10&lt;=60000,1,IF(E10&lt;=80000,1.15,1.3))</f>
        <v>1</v>
      </c>
      <c r="I98" s="5" t="s">
        <v>293</v>
      </c>
    </row>
    <row r="99" spans="1:9" ht="15.6" x14ac:dyDescent="0.3">
      <c r="B99" s="31" t="s">
        <v>294</v>
      </c>
      <c r="C99" s="30"/>
      <c r="D99" s="3" t="s">
        <v>295</v>
      </c>
      <c r="E99" s="8">
        <f>MAX(E10*E96*E97*E98*E21/(IF(E21&lt;=0.75,25,20)*E35*E31),12)</f>
        <v>41.504894289709981</v>
      </c>
      <c r="F99" s="2" t="s">
        <v>103</v>
      </c>
      <c r="I99" s="5" t="s">
        <v>296</v>
      </c>
    </row>
    <row r="100" spans="1:9" ht="15.6" x14ac:dyDescent="0.3">
      <c r="B100" s="31" t="s">
        <v>297</v>
      </c>
      <c r="C100" s="30"/>
      <c r="D100" s="3" t="s">
        <v>298</v>
      </c>
      <c r="E100" s="8">
        <f>MAX(1.3*E99,12)</f>
        <v>53.956362576622979</v>
      </c>
      <c r="F100" s="2" t="s">
        <v>103</v>
      </c>
      <c r="I100" s="5" t="s">
        <v>299</v>
      </c>
    </row>
    <row r="102" spans="1:9" ht="15.6" x14ac:dyDescent="0.3">
      <c r="A102" s="29" t="s">
        <v>300</v>
      </c>
      <c r="B102" s="30"/>
      <c r="C102" s="30"/>
      <c r="D102" s="30"/>
      <c r="E102" s="30"/>
      <c r="F102" s="30"/>
      <c r="G102" s="30"/>
      <c r="H102" s="30"/>
      <c r="I102" s="30"/>
    </row>
    <row r="103" spans="1:9" ht="15.6" x14ac:dyDescent="0.3">
      <c r="B103" s="39" t="str">
        <f>IF(AND(LEFT(G52,2)="OK",LEFT(G55,2)="OK",LEFT(G58,2)="OK",LEFT(G59,2)="OK",LEFT(G70,2)="OK",LEFT(G76,2)="OK",LEFT(G82,2)="OK",LEFT(G89,2)="OK"),"ALL CHECKS SATISFIED. The section as detailed is adequate.","ONE OR MORE CHECKS FAILED. Review the blue text above before using this design.")</f>
        <v>ALL CHECKS SATISFIED. The section as detailed is adequate.</v>
      </c>
      <c r="C103" s="30"/>
      <c r="D103" s="30"/>
      <c r="E103" s="30"/>
      <c r="F103" s="30"/>
      <c r="G103" s="30"/>
    </row>
    <row r="105" spans="1:9" ht="15.6" x14ac:dyDescent="0.3">
      <c r="A105" s="29" t="s">
        <v>301</v>
      </c>
      <c r="B105" s="30"/>
      <c r="C105" s="30"/>
      <c r="D105" s="30"/>
      <c r="E105" s="30"/>
      <c r="F105" s="30"/>
      <c r="G105" s="30"/>
      <c r="H105" s="30"/>
      <c r="I105" s="30"/>
    </row>
    <row r="106" spans="1:9" ht="15.6" x14ac:dyDescent="0.3">
      <c r="B106" s="35" t="s">
        <v>302</v>
      </c>
      <c r="C106" s="36"/>
      <c r="D106" s="36"/>
      <c r="E106" s="37" t="str">
        <f>E5&amp;" in. × "&amp;E6&amp;" in."</f>
        <v>14 in. × 24 in.</v>
      </c>
      <c r="F106" s="38"/>
    </row>
    <row r="107" spans="1:9" ht="15.6" x14ac:dyDescent="0.3">
      <c r="B107" s="35" t="s">
        <v>303</v>
      </c>
      <c r="C107" s="36"/>
      <c r="D107" s="36"/>
      <c r="E107" s="23">
        <f>E25</f>
        <v>21.6875</v>
      </c>
      <c r="F107" s="24" t="s">
        <v>103</v>
      </c>
    </row>
    <row r="108" spans="1:9" ht="15.6" x14ac:dyDescent="0.3">
      <c r="B108" s="35" t="s">
        <v>304</v>
      </c>
      <c r="C108" s="36"/>
      <c r="D108" s="36"/>
      <c r="E108" s="37" t="str">
        <f>"f'c = "&amp;E9&amp;" psi   with   fy = "&amp;E10&amp;" psi"</f>
        <v>f'c = 4000 psi   with   fy = 60000 psi</v>
      </c>
      <c r="F108" s="38"/>
    </row>
    <row r="109" spans="1:9" ht="15.6" x14ac:dyDescent="0.3">
      <c r="B109" s="35" t="s">
        <v>305</v>
      </c>
      <c r="C109" s="36"/>
      <c r="D109" s="36"/>
      <c r="E109" s="23">
        <f>E20</f>
        <v>1.5</v>
      </c>
      <c r="F109" s="24" t="s">
        <v>103</v>
      </c>
    </row>
    <row r="110" spans="1:9" ht="15.6" x14ac:dyDescent="0.3">
      <c r="B110" s="35" t="s">
        <v>306</v>
      </c>
      <c r="C110" s="36"/>
      <c r="D110" s="36"/>
      <c r="E110" s="37" t="str">
        <f>E14&amp;" "&amp;E13&amp;"  (As,prov = "&amp;TEXT(E52,"0.00")&amp;" in²)"</f>
        <v>3 #7  (As,prov = 1.80 in²)</v>
      </c>
      <c r="F110" s="38"/>
    </row>
    <row r="111" spans="1:9" ht="15.6" x14ac:dyDescent="0.3">
      <c r="B111" s="35" t="s">
        <v>307</v>
      </c>
      <c r="C111" s="36"/>
      <c r="D111" s="36"/>
      <c r="E111" s="37" t="str">
        <f>E15&amp;" — "&amp;E16&amp;" legs @ "&amp;E74&amp;" in. centres"</f>
        <v>#3 — 2 legs @ 10 in. centres</v>
      </c>
      <c r="F111" s="38"/>
    </row>
    <row r="112" spans="1:9" ht="15.6" x14ac:dyDescent="0.3">
      <c r="B112" s="35" t="s">
        <v>308</v>
      </c>
      <c r="C112" s="36"/>
      <c r="D112" s="36"/>
      <c r="E112" s="37" t="str">
        <f>"φMn = "&amp;TEXT(E58,"0.0")&amp;" kip-ft    φVn = "&amp;TEXT(E76,"0.0")&amp;" kip"</f>
        <v>φMn = 166.5 kip-ft    φVn = 50.3 kip</v>
      </c>
      <c r="F112" s="38"/>
    </row>
    <row r="113" spans="2:6" ht="15.6" x14ac:dyDescent="0.3">
      <c r="B113" s="35" t="s">
        <v>309</v>
      </c>
      <c r="C113" s="36"/>
      <c r="D113" s="36"/>
      <c r="E113" s="25">
        <f>E99</f>
        <v>41.504894289709981</v>
      </c>
      <c r="F113" s="24" t="s">
        <v>103</v>
      </c>
    </row>
    <row r="114" spans="2:6" ht="15.6" x14ac:dyDescent="0.3">
      <c r="B114" s="35" t="s">
        <v>310</v>
      </c>
      <c r="C114" s="36"/>
      <c r="D114" s="36"/>
      <c r="E114" s="25">
        <f>E100</f>
        <v>53.956362576622979</v>
      </c>
      <c r="F114" s="24" t="s">
        <v>103</v>
      </c>
    </row>
  </sheetData>
  <mergeCells count="108">
    <mergeCell ref="B8:C8"/>
    <mergeCell ref="B9:C9"/>
    <mergeCell ref="B10:C10"/>
    <mergeCell ref="B11:C11"/>
    <mergeCell ref="B12:C12"/>
    <mergeCell ref="B13:C13"/>
    <mergeCell ref="A1:I1"/>
    <mergeCell ref="A2:I2"/>
    <mergeCell ref="A4:I4"/>
    <mergeCell ref="B5:C5"/>
    <mergeCell ref="B6:C6"/>
    <mergeCell ref="B7:C7"/>
    <mergeCell ref="B21:C21"/>
    <mergeCell ref="B22:C22"/>
    <mergeCell ref="B23:C23"/>
    <mergeCell ref="B24:C24"/>
    <mergeCell ref="B25:C25"/>
    <mergeCell ref="B26:C26"/>
    <mergeCell ref="B14:C14"/>
    <mergeCell ref="B15:C15"/>
    <mergeCell ref="B16:C16"/>
    <mergeCell ref="B17:C17"/>
    <mergeCell ref="A19:I19"/>
    <mergeCell ref="B20:C20"/>
    <mergeCell ref="B34:C34"/>
    <mergeCell ref="B35:C35"/>
    <mergeCell ref="A37:I37"/>
    <mergeCell ref="B38:C38"/>
    <mergeCell ref="B39:C39"/>
    <mergeCell ref="B40:C40"/>
    <mergeCell ref="B27:C27"/>
    <mergeCell ref="A29:I29"/>
    <mergeCell ref="B30:C30"/>
    <mergeCell ref="B31:C31"/>
    <mergeCell ref="B32:C32"/>
    <mergeCell ref="B33:C33"/>
    <mergeCell ref="B48:C48"/>
    <mergeCell ref="B49:C49"/>
    <mergeCell ref="B50:C50"/>
    <mergeCell ref="B51:C51"/>
    <mergeCell ref="B52:C52"/>
    <mergeCell ref="B53:C53"/>
    <mergeCell ref="B41:C41"/>
    <mergeCell ref="B42:C42"/>
    <mergeCell ref="B43:C43"/>
    <mergeCell ref="B44:C44"/>
    <mergeCell ref="B45:C45"/>
    <mergeCell ref="A47:I47"/>
    <mergeCell ref="B60:I60"/>
    <mergeCell ref="A62:I62"/>
    <mergeCell ref="B63:C63"/>
    <mergeCell ref="B64:C64"/>
    <mergeCell ref="B65:C65"/>
    <mergeCell ref="B66:C66"/>
    <mergeCell ref="B54:C54"/>
    <mergeCell ref="B55:C55"/>
    <mergeCell ref="B56:C56"/>
    <mergeCell ref="B57:C57"/>
    <mergeCell ref="B58:C58"/>
    <mergeCell ref="B59:C59"/>
    <mergeCell ref="B73:C73"/>
    <mergeCell ref="B74:C74"/>
    <mergeCell ref="B75:C75"/>
    <mergeCell ref="B76:C76"/>
    <mergeCell ref="A78:I78"/>
    <mergeCell ref="B79:C79"/>
    <mergeCell ref="B67:C67"/>
    <mergeCell ref="B68:G68"/>
    <mergeCell ref="B69:C69"/>
    <mergeCell ref="B70:C70"/>
    <mergeCell ref="B71:C71"/>
    <mergeCell ref="B72:C72"/>
    <mergeCell ref="B87:C87"/>
    <mergeCell ref="B88:C88"/>
    <mergeCell ref="B89:C89"/>
    <mergeCell ref="A91:I91"/>
    <mergeCell ref="B92:C92"/>
    <mergeCell ref="B93:C93"/>
    <mergeCell ref="B80:C80"/>
    <mergeCell ref="B81:C81"/>
    <mergeCell ref="B82:C82"/>
    <mergeCell ref="B83:I83"/>
    <mergeCell ref="A85:I85"/>
    <mergeCell ref="B86:C86"/>
    <mergeCell ref="B100:C100"/>
    <mergeCell ref="A102:I102"/>
    <mergeCell ref="B103:G103"/>
    <mergeCell ref="A105:I105"/>
    <mergeCell ref="B106:D106"/>
    <mergeCell ref="E106:F106"/>
    <mergeCell ref="B94:C94"/>
    <mergeCell ref="B95:C95"/>
    <mergeCell ref="B96:C96"/>
    <mergeCell ref="B97:C97"/>
    <mergeCell ref="B98:C98"/>
    <mergeCell ref="B99:C99"/>
    <mergeCell ref="B111:D111"/>
    <mergeCell ref="E111:F111"/>
    <mergeCell ref="B112:D112"/>
    <mergeCell ref="E112:F112"/>
    <mergeCell ref="B113:D113"/>
    <mergeCell ref="B114:D114"/>
    <mergeCell ref="B107:D107"/>
    <mergeCell ref="B108:D108"/>
    <mergeCell ref="E108:F108"/>
    <mergeCell ref="B109:D109"/>
    <mergeCell ref="B110:D110"/>
    <mergeCell ref="E110:F110"/>
  </mergeCells>
  <dataValidations count="7">
    <dataValidation type="list" sqref="E93" xr:uid="{E13B18E1-947D-40BA-B768-A8AB2A89243E}">
      <formula1>"Uncoated,Epoxy-coated"</formula1>
    </dataValidation>
    <dataValidation type="list" sqref="E92" xr:uid="{F1F177F0-11A5-4497-AF1D-D72292F701A6}">
      <formula1>"Yes,No"</formula1>
    </dataValidation>
    <dataValidation type="list" sqref="E79" xr:uid="{0A6AB0E5-5E0C-4872-AF39-8CCFBBA7A5DA}">
      <formula1>"Simply supported,One end continuous,Both ends continuous,Cantilever"</formula1>
    </dataValidation>
    <dataValidation type="list" sqref="E13 E15" xr:uid="{C05B4EC5-872A-4FEF-AE74-79C92DF2C434}">
      <formula1>"#3,#4,#5,#6,#7,#8,#9,#10,#11,#14,#18"</formula1>
    </dataValidation>
    <dataValidation type="list" sqref="E12" xr:uid="{63E7E7B7-582F-4D71-A873-5A8836B930F2}">
      <formula1>"Cast on ground,Weather #6+,Weather #5−,Interior beam,Interior slab"</formula1>
    </dataValidation>
    <dataValidation type="list" sqref="E10:E11" xr:uid="{3A89AEE0-6D94-427B-BD8B-D901387D9A3D}">
      <formula1>"40000,60000,75000,80000"</formula1>
    </dataValidation>
    <dataValidation type="list" sqref="E9" xr:uid="{63D22112-6046-42BC-BDAE-750E6ED8E682}">
      <formula1>"2500,3000,3500,4000,4500,5000,6000,7000,8000"</formula1>
    </dataValidation>
  </dataValidations>
  <pageMargins left="0.75" right="0.75" top="1" bottom="1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D68A-2AF6-40D1-B2ED-F1EA1824F146}">
  <dimension ref="A1:B46"/>
  <sheetViews>
    <sheetView showGridLines="0" workbookViewId="0"/>
  </sheetViews>
  <sheetFormatPr defaultRowHeight="14.4" x14ac:dyDescent="0.3"/>
  <cols>
    <col min="1" max="1" width="4" customWidth="1"/>
    <col min="2" max="2" width="130" customWidth="1"/>
  </cols>
  <sheetData>
    <row r="1" spans="1:2" ht="21" x14ac:dyDescent="0.4">
      <c r="A1" s="33" t="s">
        <v>311</v>
      </c>
      <c r="B1" s="30"/>
    </row>
    <row r="3" spans="1:2" ht="15.6" x14ac:dyDescent="0.3">
      <c r="B3" s="1" t="s">
        <v>312</v>
      </c>
    </row>
    <row r="4" spans="1:2" x14ac:dyDescent="0.3">
      <c r="B4" s="26" t="s">
        <v>313</v>
      </c>
    </row>
    <row r="5" spans="1:2" x14ac:dyDescent="0.3">
      <c r="B5" s="26" t="s">
        <v>314</v>
      </c>
    </row>
    <row r="6" spans="1:2" x14ac:dyDescent="0.3">
      <c r="B6" s="26" t="s">
        <v>315</v>
      </c>
    </row>
    <row r="8" spans="1:2" ht="15.6" x14ac:dyDescent="0.3">
      <c r="B8" s="1" t="s">
        <v>316</v>
      </c>
    </row>
    <row r="9" spans="1:2" x14ac:dyDescent="0.3">
      <c r="B9" s="26" t="s">
        <v>317</v>
      </c>
    </row>
    <row r="10" spans="1:2" x14ac:dyDescent="0.3">
      <c r="B10" s="26" t="s">
        <v>318</v>
      </c>
    </row>
    <row r="11" spans="1:2" x14ac:dyDescent="0.3">
      <c r="B11" s="26" t="s">
        <v>319</v>
      </c>
    </row>
    <row r="13" spans="1:2" ht="15.6" x14ac:dyDescent="0.3">
      <c r="B13" s="1" t="s">
        <v>320</v>
      </c>
    </row>
    <row r="14" spans="1:2" x14ac:dyDescent="0.3">
      <c r="B14" s="26" t="s">
        <v>321</v>
      </c>
    </row>
    <row r="15" spans="1:2" x14ac:dyDescent="0.3">
      <c r="B15" s="26" t="s">
        <v>322</v>
      </c>
    </row>
    <row r="16" spans="1:2" x14ac:dyDescent="0.3">
      <c r="B16" s="26" t="s">
        <v>323</v>
      </c>
    </row>
    <row r="17" spans="2:2" x14ac:dyDescent="0.3">
      <c r="B17" s="26" t="s">
        <v>324</v>
      </c>
    </row>
    <row r="19" spans="2:2" ht="15.6" x14ac:dyDescent="0.3">
      <c r="B19" s="1" t="s">
        <v>325</v>
      </c>
    </row>
    <row r="20" spans="2:2" x14ac:dyDescent="0.3">
      <c r="B20" s="26" t="s">
        <v>326</v>
      </c>
    </row>
    <row r="21" spans="2:2" x14ac:dyDescent="0.3">
      <c r="B21" s="26" t="s">
        <v>327</v>
      </c>
    </row>
    <row r="22" spans="2:2" x14ac:dyDescent="0.3">
      <c r="B22" s="26" t="s">
        <v>328</v>
      </c>
    </row>
    <row r="23" spans="2:2" x14ac:dyDescent="0.3">
      <c r="B23" s="26" t="s">
        <v>329</v>
      </c>
    </row>
    <row r="24" spans="2:2" x14ac:dyDescent="0.3">
      <c r="B24" s="26" t="s">
        <v>330</v>
      </c>
    </row>
    <row r="25" spans="2:2" x14ac:dyDescent="0.3">
      <c r="B25" s="26" t="s">
        <v>331</v>
      </c>
    </row>
    <row r="27" spans="2:2" ht="15.6" x14ac:dyDescent="0.3">
      <c r="B27" s="1" t="s">
        <v>332</v>
      </c>
    </row>
    <row r="28" spans="2:2" x14ac:dyDescent="0.3">
      <c r="B28" s="26" t="s">
        <v>333</v>
      </c>
    </row>
    <row r="29" spans="2:2" x14ac:dyDescent="0.3">
      <c r="B29" s="26" t="s">
        <v>334</v>
      </c>
    </row>
    <row r="30" spans="2:2" x14ac:dyDescent="0.3">
      <c r="B30" s="26" t="s">
        <v>335</v>
      </c>
    </row>
    <row r="31" spans="2:2" x14ac:dyDescent="0.3">
      <c r="B31" s="26" t="s">
        <v>336</v>
      </c>
    </row>
    <row r="32" spans="2:2" x14ac:dyDescent="0.3">
      <c r="B32" s="26" t="s">
        <v>337</v>
      </c>
    </row>
    <row r="33" spans="2:2" x14ac:dyDescent="0.3">
      <c r="B33" s="26" t="s">
        <v>338</v>
      </c>
    </row>
    <row r="34" spans="2:2" x14ac:dyDescent="0.3">
      <c r="B34" s="26" t="s">
        <v>339</v>
      </c>
    </row>
    <row r="36" spans="2:2" ht="15.6" x14ac:dyDescent="0.3">
      <c r="B36" s="1" t="s">
        <v>340</v>
      </c>
    </row>
    <row r="37" spans="2:2" x14ac:dyDescent="0.3">
      <c r="B37" s="26" t="s">
        <v>341</v>
      </c>
    </row>
    <row r="38" spans="2:2" x14ac:dyDescent="0.3">
      <c r="B38" s="26" t="s">
        <v>342</v>
      </c>
    </row>
    <row r="39" spans="2:2" x14ac:dyDescent="0.3">
      <c r="B39" s="26" t="s">
        <v>343</v>
      </c>
    </row>
    <row r="40" spans="2:2" x14ac:dyDescent="0.3">
      <c r="B40" s="26" t="s">
        <v>344</v>
      </c>
    </row>
    <row r="42" spans="2:2" ht="15.6" x14ac:dyDescent="0.3">
      <c r="B42" s="1" t="s">
        <v>345</v>
      </c>
    </row>
    <row r="43" spans="2:2" x14ac:dyDescent="0.3">
      <c r="B43" s="26" t="s">
        <v>346</v>
      </c>
    </row>
    <row r="44" spans="2:2" x14ac:dyDescent="0.3">
      <c r="B44" s="26" t="s">
        <v>347</v>
      </c>
    </row>
    <row r="45" spans="2:2" x14ac:dyDescent="0.3">
      <c r="B45" s="26" t="s">
        <v>348</v>
      </c>
    </row>
    <row r="46" spans="2:2" x14ac:dyDescent="0.3">
      <c r="B46" s="26" t="s">
        <v>349</v>
      </c>
    </row>
  </sheetData>
  <mergeCells count="1">
    <mergeCell ref="A1:B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Parameters</vt:lpstr>
      <vt:lpstr>ACI Beam SR</vt:lpstr>
      <vt:lpstr>Notes &amp; 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 Bhujbal</dc:creator>
  <cp:lastModifiedBy>Devang Bhujbal</cp:lastModifiedBy>
  <dcterms:created xsi:type="dcterms:W3CDTF">2026-09-09T09:16:27Z</dcterms:created>
  <dcterms:modified xsi:type="dcterms:W3CDTF">2026-09-09T09:16:55Z</dcterms:modified>
</cp:coreProperties>
</file>