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Website\Structural-Design-IS456\samples\"/>
    </mc:Choice>
  </mc:AlternateContent>
  <xr:revisionPtr revIDLastSave="0" documentId="13_ncr:1_{E654D995-744E-43C3-8AFA-AD13B33E964B}" xr6:coauthVersionLast="47" xr6:coauthVersionMax="47" xr10:uidLastSave="{00000000-0000-0000-0000-000000000000}"/>
  <bookViews>
    <workbookView xWindow="-108" yWindow="-108" windowWidth="23256" windowHeight="12456" xr2:uid="{EF0102BF-786C-466C-8753-AB9095E9B0C9}"/>
  </bookViews>
  <sheets>
    <sheet name="Read me" sheetId="4" r:id="rId1"/>
    <sheet name="Parameters" sheetId="1" r:id="rId2"/>
    <sheet name="EC2 Beam SR" sheetId="2" r:id="rId3"/>
    <sheet name="Notes &amp; References" sheetId="3" r:id="rId4"/>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27" i="2" l="1"/>
  <c r="E124" i="2"/>
  <c r="E123" i="2"/>
  <c r="E109" i="2"/>
  <c r="E108" i="2"/>
  <c r="E89" i="2"/>
  <c r="E88" i="2"/>
  <c r="E79" i="2"/>
  <c r="E77" i="2"/>
  <c r="E72" i="2"/>
  <c r="E59" i="2"/>
  <c r="E58" i="2"/>
  <c r="E40" i="2"/>
  <c r="E41" i="2" s="1"/>
  <c r="E25" i="2"/>
  <c r="E26" i="2" s="1"/>
  <c r="E21" i="2"/>
  <c r="E20" i="2"/>
  <c r="E46" i="1"/>
  <c r="F46" i="1" s="1"/>
  <c r="D46" i="1"/>
  <c r="G46" i="1" s="1"/>
  <c r="E45" i="1"/>
  <c r="F45" i="1" s="1"/>
  <c r="D45" i="1"/>
  <c r="G45" i="1" s="1"/>
  <c r="E44" i="1"/>
  <c r="F44" i="1" s="1"/>
  <c r="D44" i="1"/>
  <c r="G44" i="1" s="1"/>
  <c r="E43" i="1"/>
  <c r="F43" i="1" s="1"/>
  <c r="D43" i="1"/>
  <c r="G43" i="1" s="1"/>
  <c r="E42" i="1"/>
  <c r="F42" i="1" s="1"/>
  <c r="E33" i="2" s="1"/>
  <c r="E34" i="2" s="1"/>
  <c r="D42" i="1"/>
  <c r="G42" i="1" s="1"/>
  <c r="E41" i="1"/>
  <c r="F41" i="1" s="1"/>
  <c r="D41" i="1"/>
  <c r="G41" i="1" s="1"/>
  <c r="E40" i="1"/>
  <c r="F40" i="1" s="1"/>
  <c r="D40" i="1"/>
  <c r="G40" i="1" s="1"/>
  <c r="E39" i="1"/>
  <c r="F39" i="1" s="1"/>
  <c r="D39" i="1"/>
  <c r="G39" i="1" s="1"/>
  <c r="E38" i="1"/>
  <c r="F38" i="1" s="1"/>
  <c r="D38" i="1"/>
  <c r="G38" i="1" s="1"/>
  <c r="E19" i="1"/>
  <c r="E18" i="1"/>
  <c r="E17" i="1"/>
  <c r="E16" i="1"/>
  <c r="E15" i="1"/>
  <c r="E14" i="1"/>
  <c r="E50" i="2" s="1"/>
  <c r="E13" i="1"/>
  <c r="E12" i="1"/>
  <c r="E29" i="2" s="1"/>
  <c r="E11" i="1"/>
  <c r="E31" i="2" s="1"/>
  <c r="E10" i="1"/>
  <c r="E20" i="1" s="1"/>
  <c r="E51" i="2" l="1"/>
  <c r="E30" i="2"/>
  <c r="E110" i="2"/>
  <c r="E22" i="2"/>
  <c r="E23" i="2" s="1"/>
  <c r="E104" i="2" s="1"/>
  <c r="E32" i="2"/>
  <c r="E126" i="2"/>
  <c r="E95" i="2"/>
  <c r="E42" i="2"/>
  <c r="E128" i="2"/>
  <c r="E24" i="2" l="1"/>
  <c r="E98" i="2" s="1"/>
  <c r="E60" i="2"/>
  <c r="G60" i="2" s="1"/>
  <c r="E44" i="2"/>
  <c r="E46" i="2"/>
  <c r="E45" i="2"/>
  <c r="E101" i="2"/>
  <c r="E81" i="2"/>
  <c r="E65" i="2"/>
  <c r="E57" i="2"/>
  <c r="E71" i="2"/>
  <c r="E125" i="2"/>
  <c r="E64" i="2"/>
  <c r="E66" i="2" l="1"/>
  <c r="E67" i="2" s="1"/>
  <c r="E68" i="2" s="1"/>
  <c r="B69" i="2" s="1"/>
  <c r="E74" i="2"/>
  <c r="E73" i="2"/>
  <c r="E75" i="2"/>
  <c r="E76" i="2" s="1"/>
  <c r="E78" i="2" s="1"/>
  <c r="E80" i="2" s="1"/>
  <c r="E82" i="2" s="1"/>
  <c r="G74" i="2"/>
  <c r="E49" i="2"/>
  <c r="E83" i="2" l="1"/>
  <c r="G83" i="2" s="1"/>
  <c r="E129" i="2"/>
  <c r="B52" i="2"/>
  <c r="E54" i="2"/>
  <c r="E84" i="2"/>
  <c r="E55" i="2" l="1"/>
  <c r="E56" i="2"/>
  <c r="E96" i="2" l="1"/>
  <c r="G59" i="2"/>
  <c r="E111" i="2"/>
  <c r="E112" i="2" s="1"/>
  <c r="E90" i="2"/>
  <c r="E92" i="2" s="1"/>
  <c r="E97" i="2" s="1"/>
  <c r="G98" i="2" s="1"/>
  <c r="E102" i="2"/>
  <c r="E103" i="2" s="1"/>
  <c r="G104" i="2" s="1"/>
  <c r="E114" i="2" l="1"/>
  <c r="E117" i="2"/>
  <c r="E131" i="2" s="1"/>
  <c r="E115" i="2"/>
  <c r="E130" i="2" s="1"/>
  <c r="B120" i="2"/>
</calcChain>
</file>

<file path=xl/sharedStrings.xml><?xml version="1.0" encoding="utf-8"?>
<sst xmlns="http://schemas.openxmlformats.org/spreadsheetml/2006/main" count="510" uniqueCount="423">
  <si>
    <t>EN 1992-1-1 (Eurocode 2)  —  Design Parameters and National Annex</t>
  </si>
  <si>
    <t>Every design sheet in this workbook reads its partial factors and material data from this tab. Change the National Annex in the yellow cell and all sheets update.</t>
  </si>
  <si>
    <t>1)  National Annex selection</t>
  </si>
  <si>
    <t>National Annex in use</t>
  </si>
  <si>
    <t>UK NA</t>
  </si>
  <si>
    <t>Choose 'UK NA' (BS EN 1992-1-1 UK National Annex) or 'EN Recommended' (base EN values).</t>
  </si>
  <si>
    <t>The 'Value in use' column below switches automatically; the two source columns are shown for comparison.</t>
  </si>
  <si>
    <t>2)  Partial factors and Nationally Determined Parameters</t>
  </si>
  <si>
    <t>Parameter</t>
  </si>
  <si>
    <t>Symbol</t>
  </si>
  <si>
    <t>Value in use</t>
  </si>
  <si>
    <t>Unit</t>
  </si>
  <si>
    <t>EN recommended</t>
  </si>
  <si>
    <t>Clause / source</t>
  </si>
  <si>
    <t>Partial factor for concrete (persistent &amp; transient)</t>
  </si>
  <si>
    <t>γC</t>
  </si>
  <si>
    <t>2.4.2.4(1)</t>
  </si>
  <si>
    <t>Partial factor for reinforcing steel</t>
  </si>
  <si>
    <t>γS</t>
  </si>
  <si>
    <t>Long-term / loading effect coefficient, compression</t>
  </si>
  <si>
    <t>αcc</t>
  </si>
  <si>
    <t>3.1.6(1)</t>
  </si>
  <si>
    <t>Long-term / loading effect coefficient, tension</t>
  </si>
  <si>
    <t>αct</t>
  </si>
  <si>
    <t>3.1.6(2)</t>
  </si>
  <si>
    <t>Redistribution coefficient k1</t>
  </si>
  <si>
    <t>k1</t>
  </si>
  <si>
    <t>5.5(4)</t>
  </si>
  <si>
    <t>Redistribution coefficient k2</t>
  </si>
  <si>
    <t>k2</t>
  </si>
  <si>
    <t>Shear coefficient on σcp</t>
  </si>
  <si>
    <t>6.2.2(1)</t>
  </si>
  <si>
    <t>Minimum cot θ  (θmax = 45°)</t>
  </si>
  <si>
    <t>cotθmin</t>
  </si>
  <si>
    <t>6.2.3(2)</t>
  </si>
  <si>
    <t>Maximum cot θ  (θmin = 21.8°)</t>
  </si>
  <si>
    <t>cotθmax</t>
  </si>
  <si>
    <t>Coefficient for state of stress in the compression chord</t>
  </si>
  <si>
    <t>αcw</t>
  </si>
  <si>
    <t>6.2.3(3)</t>
  </si>
  <si>
    <t>Shear resistance coefficient</t>
  </si>
  <si>
    <t>CRd,c</t>
  </si>
  <si>
    <t>0.18/γC</t>
  </si>
  <si>
    <t>Modulus of elasticity of reinforcement</t>
  </si>
  <si>
    <t>Es</t>
  </si>
  <si>
    <t>N/mm²</t>
  </si>
  <si>
    <t>3.2.7(4)</t>
  </si>
  <si>
    <t>Ultimate concrete strain (fck ≤ 50 MPa)</t>
  </si>
  <si>
    <t>εcu2</t>
  </si>
  <si>
    <t>Table 3.1</t>
  </si>
  <si>
    <t>Concrete strain at peak stress</t>
  </si>
  <si>
    <t>εc2</t>
  </si>
  <si>
    <t>Effective compression-zone depth factor</t>
  </si>
  <si>
    <t>λ</t>
  </si>
  <si>
    <t>3.1.7(3)</t>
  </si>
  <si>
    <t>Effective strength factor</t>
  </si>
  <si>
    <t>η</t>
  </si>
  <si>
    <t>Allowance for deviation in cover</t>
  </si>
  <si>
    <t>Δcdev</t>
  </si>
  <si>
    <t>mm</t>
  </si>
  <si>
    <t>4.4.1.3(1)</t>
  </si>
  <si>
    <t>Upper limit on the 310/σs deflection factor</t>
  </si>
  <si>
    <t>—</t>
  </si>
  <si>
    <t>7.4.2(2)</t>
  </si>
  <si>
    <t>Practical cap on x/d for ductility</t>
  </si>
  <si>
    <t>(x/d)cap</t>
  </si>
  <si>
    <t>Common UK practice caps x/d at 0.45 (K' = 0.168). Set to 0.60 to use the full UK NA limit at δ = 1.0.</t>
  </si>
  <si>
    <t>3)  Partial factors on actions (EN 1990, equation 6.10)</t>
  </si>
  <si>
    <t>Equation 6.10:  Ed = γG·Gk + γQ·Qk. For the less onerous 6.10b use γG = ξ·γG = 0.925 × 1.35 = 1.25.</t>
  </si>
  <si>
    <t>Partial factor on permanent actions</t>
  </si>
  <si>
    <t>γG</t>
  </si>
  <si>
    <t>Partial factor on variable actions</t>
  </si>
  <si>
    <t>γQ</t>
  </si>
  <si>
    <t>4)  Concrete properties (Table 3.1) — all strengths in N/mm², Ecm in kN/mm²</t>
  </si>
  <si>
    <t>fck</t>
  </si>
  <si>
    <t>fck,cube</t>
  </si>
  <si>
    <t>fcm</t>
  </si>
  <si>
    <t>fctm</t>
  </si>
  <si>
    <t>fctk,0.05</t>
  </si>
  <si>
    <t>Ecm</t>
  </si>
  <si>
    <t>fcm = fck + 8;  fctm = 0.30·fck^(2/3);  fctk,0.05 = 0.7·fctm;  Ecm = 22·(fcm/10)^0.3 GPa.</t>
  </si>
  <si>
    <t>Valid for fck ≤ 50 N/mm² (concrete classes up to C50/60), which is the scope of these sheets.</t>
  </si>
  <si>
    <t>5)  Minimum cover for durability, cmin,dur (mm) — structural class S4, Table 4.4N</t>
  </si>
  <si>
    <t>Exposure class</t>
  </si>
  <si>
    <t>cmin,dur (mm)</t>
  </si>
  <si>
    <t>X0</t>
  </si>
  <si>
    <t>cmin = max(cmin,b ; cmin,dur ; 10 mm), where cmin,b is the bar diameter.  cnom = cmin + Δcdev.</t>
  </si>
  <si>
    <t>XC1</t>
  </si>
  <si>
    <t>Structural class S4 assumes a 50-year design life and ordinary Portland cement concrete.</t>
  </si>
  <si>
    <t>XC2/XC3</t>
  </si>
  <si>
    <t>Adjust the class per Table 4.3N for a 100-year life (+2), slab geometry (−1) or quality control (−1).</t>
  </si>
  <si>
    <t>XC4</t>
  </si>
  <si>
    <t>XD1/XS1</t>
  </si>
  <si>
    <t>XD2/XS2</t>
  </si>
  <si>
    <t>XD3/XS3</t>
  </si>
  <si>
    <t>6)  Basic span/effective-depth factor K (Table 7.4N)</t>
  </si>
  <si>
    <t>Support condition</t>
  </si>
  <si>
    <t>K</t>
  </si>
  <si>
    <t>Simply supported</t>
  </si>
  <si>
    <t>End span continuous</t>
  </si>
  <si>
    <t>Interior span</t>
  </si>
  <si>
    <t>Flat slab</t>
  </si>
  <si>
    <t>Cantilever</t>
  </si>
  <si>
    <t>7)  Maximum bar spacing for crack control, wk = 0.3 mm (Table 7.3N)</t>
  </si>
  <si>
    <t>Steel stress σs (N/mm²)</t>
  </si>
  <si>
    <t>Max bar spacing (mm)</t>
  </si>
  <si>
    <t>Quasi-permanent steel stress σs ≈ (fyk/γS)·(As,req/As,prov)·(1/δ)·(Gk + ψ2·Qk)/(γG·Gk + γQ·Qk).</t>
  </si>
  <si>
    <t>Satisfying either the bar-size rule (Table 7.2N) or this spacing rule is sufficient for cracking.</t>
  </si>
  <si>
    <t>8)  Using this workbook</t>
  </si>
  <si>
    <t>•  Enter data only in the yellow cells. Every other cell is a live formula — do not overwrite it.</t>
  </si>
  <si>
    <t>•  Each design sheet ends with a checks block (blue) and a green design summary.</t>
  </si>
  <si>
    <t>•  All lengths are in mm unless stated, forces in kN, moments in kNm and stresses in N/mm².</t>
  </si>
  <si>
    <t>•  Clause numbers in the right-hand column refer to BS EN 1992-1-1:2004 + A1:2014 unless noted.</t>
  </si>
  <si>
    <t>Singly Reinforced Rectangular Beam — EN 1992-1-1</t>
  </si>
  <si>
    <t>Simply supported / single-span rectangular beam.  Enter values in the yellow cells only.  Partial factors are taken from the Parameters tab.</t>
  </si>
  <si>
    <t>1)  Section geometry, materials and bar sizes</t>
  </si>
  <si>
    <t>Width of beam</t>
  </si>
  <si>
    <t>b</t>
  </si>
  <si>
    <t>Overall depth of beam</t>
  </si>
  <si>
    <t>h</t>
  </si>
  <si>
    <t>Clear span between supports</t>
  </si>
  <si>
    <t>ln</t>
  </si>
  <si>
    <t>m</t>
  </si>
  <si>
    <t>Width of bearing at support</t>
  </si>
  <si>
    <t>t</t>
  </si>
  <si>
    <t>Characteristic cylinder strength of concrete</t>
  </si>
  <si>
    <t>Concrete class C30/37.  Dropdown: C12/15 to C50/60.</t>
  </si>
  <si>
    <t>Characteristic yield strength of reinforcement</t>
  </si>
  <si>
    <t>fyk</t>
  </si>
  <si>
    <t>Class B or C steel to BS 4449 is assumed (adequate ductility).</t>
  </si>
  <si>
    <t>Sets cmin,dur from Table 4.4N on the Parameters tab.</t>
  </si>
  <si>
    <t>Diameter of main tension bars</t>
  </si>
  <si>
    <t>φ</t>
  </si>
  <si>
    <t>Number of tension bars</t>
  </si>
  <si>
    <t>n</t>
  </si>
  <si>
    <t>Nos</t>
  </si>
  <si>
    <t>Diameter of shear links</t>
  </si>
  <si>
    <t>φw</t>
  </si>
  <si>
    <t>Number of legs per link</t>
  </si>
  <si>
    <t>legs</t>
  </si>
  <si>
    <t>Characteristic yield strength of links</t>
  </si>
  <si>
    <t>fywk</t>
  </si>
  <si>
    <t>Maximum aggregate size</t>
  </si>
  <si>
    <t>dg</t>
  </si>
  <si>
    <t>2)  Nominal cover and effective depth (4.4.1, 5.3.2.2)</t>
  </si>
  <si>
    <t>Minimum cover for durability</t>
  </si>
  <si>
    <t>cmin,dur</t>
  </si>
  <si>
    <t>Table 4.4N, structural class S4.</t>
  </si>
  <si>
    <t>Minimum cover for bond</t>
  </si>
  <si>
    <t>cmin,b</t>
  </si>
  <si>
    <t>cmin,b = bar diameter (4.4.1.2(3)).</t>
  </si>
  <si>
    <t>Governing minimum cover</t>
  </si>
  <si>
    <t>cmin</t>
  </si>
  <si>
    <t>cmin = max(cmin,b ; cmin,dur ; 10 mm).</t>
  </si>
  <si>
    <t>Nominal cover to links</t>
  </si>
  <si>
    <t>cnom</t>
  </si>
  <si>
    <t>cnom = cmin + Δcdev  (4.4.1.1).</t>
  </si>
  <si>
    <t>Effective depth to tension steel</t>
  </si>
  <si>
    <t>d</t>
  </si>
  <si>
    <t>d = h − cnom − φw − φ/2 (single layer of bars).</t>
  </si>
  <si>
    <t>Support allowance</t>
  </si>
  <si>
    <t>ai</t>
  </si>
  <si>
    <t>ai = min(h/2 ; t/2) at each end (Figure 5.4).</t>
  </si>
  <si>
    <t>Effective span</t>
  </si>
  <si>
    <t>leff</t>
  </si>
  <si>
    <t>leff = ln + a1 + a2  (5.3.2.2(1)).</t>
  </si>
  <si>
    <t>3)  Design material strengths (3.1.6, 3.2.7)</t>
  </si>
  <si>
    <t>Design compressive strength of concrete</t>
  </si>
  <si>
    <t>fcd</t>
  </si>
  <si>
    <t>fcd = αcc·fck/γC.</t>
  </si>
  <si>
    <t>Design yield strength of reinforcement</t>
  </si>
  <si>
    <t>fyd</t>
  </si>
  <si>
    <t>fyd = fyk/γS.</t>
  </si>
  <si>
    <t>Design yield strength of links</t>
  </si>
  <si>
    <t>fywd</t>
  </si>
  <si>
    <t>Mean axial tensile strength</t>
  </si>
  <si>
    <t>fctm = 0.30·fck^(2/3)  (Table 3.1).</t>
  </si>
  <si>
    <t>5% fractile tensile strength</t>
  </si>
  <si>
    <t>Design tensile strength</t>
  </si>
  <si>
    <t>fctd</t>
  </si>
  <si>
    <t>fctd = αct·fctk,0.05/γC  (3.1.6(2)).</t>
  </si>
  <si>
    <t>4)  Actions and design effects (EN 1990, eq. 6.10)</t>
  </si>
  <si>
    <t>Permanent action excluding self-weight</t>
  </si>
  <si>
    <t>gk</t>
  </si>
  <si>
    <t>kN/m</t>
  </si>
  <si>
    <t>Variable (imposed) action</t>
  </si>
  <si>
    <t>qk</t>
  </si>
  <si>
    <t>Quasi-permanent factor for the variable action</t>
  </si>
  <si>
    <t>ψ2</t>
  </si>
  <si>
    <t>0.3 offices/residential, 0.6 storage, 0.0 snow ≤ 1000 m (EN 1990 Table A1.1).</t>
  </si>
  <si>
    <t>Self-weight of beam</t>
  </si>
  <si>
    <t>gk,sw</t>
  </si>
  <si>
    <t>Reinforced concrete density taken as 25 kN/m³.</t>
  </si>
  <si>
    <t>Total permanent action</t>
  </si>
  <si>
    <t>Gk</t>
  </si>
  <si>
    <t>Design load at ULS</t>
  </si>
  <si>
    <t>wEd</t>
  </si>
  <si>
    <t>wEd = γG·Gk + γQ·Qk.</t>
  </si>
  <si>
    <t>Ratio of redistributed to elastic moment</t>
  </si>
  <si>
    <t>δ</t>
  </si>
  <si>
    <t>δ = 1.00 for no redistribution; 0.70 is the usual lower bound (UK NA).</t>
  </si>
  <si>
    <t>Design bending moment at mid-span</t>
  </si>
  <si>
    <t>MEd</t>
  </si>
  <si>
    <t>kNm</t>
  </si>
  <si>
    <t>MEd = wEd·leff²/8.</t>
  </si>
  <si>
    <t>Design shear force at support centreline</t>
  </si>
  <si>
    <t>VEd</t>
  </si>
  <si>
    <t>kN</t>
  </si>
  <si>
    <t>Design shear at d from the face of support</t>
  </si>
  <si>
    <t>VEd,d</t>
  </si>
  <si>
    <t>Permitted for direct support (6.2.1(8)); links must continue to the support.</t>
  </si>
  <si>
    <t>5)  Design for flexure (6.1)</t>
  </si>
  <si>
    <t>Applied moment ratio</t>
  </si>
  <si>
    <t>K = MEd/(b·d²·fck).</t>
  </si>
  <si>
    <t>Limiting neutral-axis depth ratio</t>
  </si>
  <si>
    <t>(x/d)lim</t>
  </si>
  <si>
    <t>δ ≥ k1 + k2·xu/d  (5.5(4)), further capped for ductility on the Parameters tab.</t>
  </si>
  <si>
    <t>Limiting moment ratio</t>
  </si>
  <si>
    <t>K'</t>
  </si>
  <si>
    <t>K' = λ·η·(αcc/γC)·ξ·(1 − λξ/2);  K' = 0.168 for UK NA at x/d = 0.45.</t>
  </si>
  <si>
    <t>Lever arm</t>
  </si>
  <si>
    <t>z</t>
  </si>
  <si>
    <t>z = d/2·[1 + √(1 − 2K/(η·αcc/γC))]  ≤ 0.95d  (rectangular stress block).</t>
  </si>
  <si>
    <t>Neutral-axis depth</t>
  </si>
  <si>
    <t>x</t>
  </si>
  <si>
    <t>x = 2(d − z)/λ.</t>
  </si>
  <si>
    <t>Tension steel required</t>
  </si>
  <si>
    <t>As,req</t>
  </si>
  <si>
    <t>mm²</t>
  </si>
  <si>
    <t>As = MEd/(fyd·z).</t>
  </si>
  <si>
    <t>Minimum tension reinforcement</t>
  </si>
  <si>
    <t>As,min</t>
  </si>
  <si>
    <t>As,min = max(0.26·fctm/fyk·bt·d ; 0.0013·bt·d)  (9.2.1.1(1)).</t>
  </si>
  <si>
    <t>Maximum tension reinforcement</t>
  </si>
  <si>
    <t>As,max</t>
  </si>
  <si>
    <t>As,max = 0.04·Ac outside lap locations  (9.2.1.1(3)).</t>
  </si>
  <si>
    <t>Tension steel provided</t>
  </si>
  <si>
    <t>As,prov</t>
  </si>
  <si>
    <t>Clear spacing between tension bars</t>
  </si>
  <si>
    <t>sclear</t>
  </si>
  <si>
    <t>Minimum clear spacing between bars = max(φ ; dg + 5 mm ; 20 mm)  (8.2(2)).</t>
  </si>
  <si>
    <t>6)  Design for shear — variable strut inclination method (6.2)</t>
  </si>
  <si>
    <t>Tension reinforcement ratio</t>
  </si>
  <si>
    <t>ρ1</t>
  </si>
  <si>
    <t>ρ1 = Asl/(bw·d) ≤ 0.02.</t>
  </si>
  <si>
    <t>Size effect factor</t>
  </si>
  <si>
    <t>k</t>
  </si>
  <si>
    <t>k = 1 + √(200/d) ≤ 2.0 with d in mm.</t>
  </si>
  <si>
    <t>Minimum shear stress</t>
  </si>
  <si>
    <t>vmin</t>
  </si>
  <si>
    <t>vmin = 0.035·k^1.5·fck^0.5  (6.2.2(1)).</t>
  </si>
  <si>
    <t>Shear stress resistance without links</t>
  </si>
  <si>
    <t>vRd,c</t>
  </si>
  <si>
    <t>vRd,c = CRd,c·k·(100·ρ1·fck)^(1/3) ≥ vmin  (σcp = 0, no axial load).</t>
  </si>
  <si>
    <t>Shear resistance without links</t>
  </si>
  <si>
    <t>VRd,c</t>
  </si>
  <si>
    <t>Lever arm used for shear</t>
  </si>
  <si>
    <t>z = 0.9d is the standard simplification for members without axial force.</t>
  </si>
  <si>
    <t>Strength reduction factor for cracked concrete</t>
  </si>
  <si>
    <t>ν1</t>
  </si>
  <si>
    <t>ν1 = 0.6·(1 − fck/250)  (6.2.3(3)).</t>
  </si>
  <si>
    <t>Strut capacity at cot θ = 2.5  (θ = 21.8°)</t>
  </si>
  <si>
    <t>VRd,max</t>
  </si>
  <si>
    <t>Strut capacity at cot θ = 1.0  (θ = 45°)</t>
  </si>
  <si>
    <t>Strut angle</t>
  </si>
  <si>
    <t>θ</t>
  </si>
  <si>
    <t>degrees</t>
  </si>
  <si>
    <t>θ = ½·sin⁻¹[2VEd/(αcw·bw·z·ν1·fcd)], taken as 21.8° whenever that is sufficient.</t>
  </si>
  <si>
    <t>Cotangent of the strut angle</t>
  </si>
  <si>
    <t>cot θ</t>
  </si>
  <si>
    <t>21.8° ≤ θ ≤ 45°, i.e. 1.0 ≤ cot θ ≤ 2.5.</t>
  </si>
  <si>
    <t>Cross-sectional area of one link</t>
  </si>
  <si>
    <t>Asw</t>
  </si>
  <si>
    <t>Link area per unit length required</t>
  </si>
  <si>
    <t>(Asw/s)req</t>
  </si>
  <si>
    <t>mm²/mm</t>
  </si>
  <si>
    <t>Asw/s = VEd/(z·fywd·cot θ)  (6.2.3(3), eq. 6.8).</t>
  </si>
  <si>
    <t>Minimum link area per unit length</t>
  </si>
  <si>
    <t>(Asw/s)min</t>
  </si>
  <si>
    <t>ρw,min = 0.08·√fck/fyk  (9.2.2(5)); (Asw/s)min = ρw,min·bw.</t>
  </si>
  <si>
    <t>Spacing required (strength and minimum links)</t>
  </si>
  <si>
    <t>s</t>
  </si>
  <si>
    <t>Maximum longitudinal spacing</t>
  </si>
  <si>
    <t>sl,max</t>
  </si>
  <si>
    <t>sl,max = 0.75·d·(1 + cot α) = 0.75d for vertical links  (9.2.2(6)).</t>
  </si>
  <si>
    <t>Spacing provided (rounded down to 25 mm)</t>
  </si>
  <si>
    <t>s,prov</t>
  </si>
  <si>
    <t>mm c/c</t>
  </si>
  <si>
    <t>Shear resistance of the links provided</t>
  </si>
  <si>
    <t>VRd,s</t>
  </si>
  <si>
    <t>Additional tensile force in the longitudinal steel</t>
  </si>
  <si>
    <t>ΔFtd</t>
  </si>
  <si>
    <t>ΔFtd = 0.5·VEd·cot θ  (6.2.3(7)); allow for it by the shift rule al = 0.5·z·cot θ.</t>
  </si>
  <si>
    <t>7)  Deflection — span/effective-depth check (7.4.2)</t>
  </si>
  <si>
    <t>Basic span/depth factor</t>
  </si>
  <si>
    <t>Table 7.4N.</t>
  </si>
  <si>
    <t>Reference reinforcement ratio</t>
  </si>
  <si>
    <t>ρ0</t>
  </si>
  <si>
    <t>ρ0 = √fck · 10⁻³.</t>
  </si>
  <si>
    <t>Required tension reinforcement ratio</t>
  </si>
  <si>
    <t>ρ</t>
  </si>
  <si>
    <t>Compression reinforcement ratio</t>
  </si>
  <si>
    <t>ρ'</t>
  </si>
  <si>
    <t>Basic limiting span/depth ratio</t>
  </si>
  <si>
    <t>(l/d)basic</t>
  </si>
  <si>
    <t>Expressions 7.16a and 7.16b.</t>
  </si>
  <si>
    <t>Flanged-section factor</t>
  </si>
  <si>
    <t>F1</t>
  </si>
  <si>
    <t>1.0 for rectangular sections; 0.8 where bf/bw &gt; 3.0.</t>
  </si>
  <si>
    <t>Span supports partitions liable to be damaged?</t>
  </si>
  <si>
    <t>No</t>
  </si>
  <si>
    <t>The 7/leff reduction applies only to spans over 7 m that support brittle partitions or finishes  (7.4.2(2)).</t>
  </si>
  <si>
    <t>Long-span factor</t>
  </si>
  <si>
    <t>F2</t>
  </si>
  <si>
    <t>F2 = 7/leff where it applies, otherwise 1.0.</t>
  </si>
  <si>
    <t>Steel stress factor  (310/σs)</t>
  </si>
  <si>
    <t>F3</t>
  </si>
  <si>
    <t>310/σs ≈ As,prov/As,req ≤ 1.5  (7.4.2(2)).</t>
  </si>
  <si>
    <t>Permissible span/effective-depth ratio</t>
  </si>
  <si>
    <t>(l/d)allow</t>
  </si>
  <si>
    <t>Actual span/effective-depth ratio</t>
  </si>
  <si>
    <t>(l/d)act</t>
  </si>
  <si>
    <t>8)  Crack control — bar spacing (7.3.3)</t>
  </si>
  <si>
    <t>Quasi-permanent to ULS load ratio</t>
  </si>
  <si>
    <t>Service stress in the tension reinforcement</t>
  </si>
  <si>
    <t>σs</t>
  </si>
  <si>
    <t>σs = fyd·(As,req/As,prov)·(quasi-permanent/ULS load ratio)/δ.</t>
  </si>
  <si>
    <t>Maximum bar spacing for wk = 0.3 mm</t>
  </si>
  <si>
    <t>smax</t>
  </si>
  <si>
    <t>Linear interpolation of Table 7.3N (160→300 mm down to 360→50 mm).</t>
  </si>
  <si>
    <t>Bar spacing provided (centres)</t>
  </si>
  <si>
    <t>9)  Anchorage and lap lengths (8.4, 8.7)</t>
  </si>
  <si>
    <t>Bond condition</t>
  </si>
  <si>
    <t>Good</t>
  </si>
  <si>
    <t>'Poor' applies to bars in the top 300 mm of a pour deeper than 250 mm.</t>
  </si>
  <si>
    <t>Bond condition coefficient</t>
  </si>
  <si>
    <t>η1</t>
  </si>
  <si>
    <t>Bar size coefficient</t>
  </si>
  <si>
    <t>η2</t>
  </si>
  <si>
    <t>Ultimate bond stress</t>
  </si>
  <si>
    <t>fbd</t>
  </si>
  <si>
    <t>fbd = 2.25·η1·η2·fctd  (8.4.2(2)).</t>
  </si>
  <si>
    <t>Design stress in the bar at anchorage</t>
  </si>
  <si>
    <t>σsd</t>
  </si>
  <si>
    <t>Basic required anchorage length</t>
  </si>
  <si>
    <t>lb,rqd</t>
  </si>
  <si>
    <t>lb,rqd = (φ/4)·(σsd/fbd)  (8.4.3).</t>
  </si>
  <si>
    <t>Product of coefficients α1 to α5</t>
  </si>
  <si>
    <t>Πα</t>
  </si>
  <si>
    <t>1.0 for straight bars; 0.7 for a standard bend where cd &gt; 3φ.  Πα ≥ 0.7.</t>
  </si>
  <si>
    <t>Minimum anchorage length</t>
  </si>
  <si>
    <t>lb,min</t>
  </si>
  <si>
    <t>lb,min = max(0.3·lb,rqd ; 10φ ; 100 mm) for bars in tension  (8.4.4).</t>
  </si>
  <si>
    <t>Design anchorage length</t>
  </si>
  <si>
    <t>lbd</t>
  </si>
  <si>
    <t>Lap coefficient</t>
  </si>
  <si>
    <t>α6</t>
  </si>
  <si>
    <t>1.0 / 1.15 / 1.4 / 1.5 for 25% / 33% / 50% / &gt;50% of bars lapped at a section.</t>
  </si>
  <si>
    <t>Design lap length</t>
  </si>
  <si>
    <t>l0</t>
  </si>
  <si>
    <t>l0 = α1·α2·α3·α5·α6·lb,rqd ≥ l0,min = max(0.3·α6·lb,rqd ; 15φ ; 200 mm)  (8.7.3).</t>
  </si>
  <si>
    <t>10)  Summary of checks</t>
  </si>
  <si>
    <t>11)  Design summary</t>
  </si>
  <si>
    <t>Width of beam, b</t>
  </si>
  <si>
    <t>Overall depth of beam, h</t>
  </si>
  <si>
    <t>Effective depth, d</t>
  </si>
  <si>
    <t>Nominal cover to links, cnom</t>
  </si>
  <si>
    <t>Concrete class / steel grade</t>
  </si>
  <si>
    <t>Tension reinforcement</t>
  </si>
  <si>
    <t>Shear links</t>
  </si>
  <si>
    <t>Design anchorage length, lbd</t>
  </si>
  <si>
    <t>Design lap length, l0</t>
  </si>
  <si>
    <t>Eurocode 2 RCC Design Sheets — Notes, Assumptions and References</t>
  </si>
  <si>
    <t>Scope</t>
  </si>
  <si>
    <t>•  Five design sheets to BS EN 1992-1-1:2004 +A1:2014 — singly and doubly reinforced rectangular beams, one-way and two-way solid slabs, braced rectangular columns and isolated pad footings.</t>
  </si>
  <si>
    <t>•  All sheets are limited to concrete classes up to C50/60, for which λ = 0.8, η = 1.0, εcu2 = 0.0035 and εc2 = 0.0020.</t>
  </si>
  <si>
    <t>•  Reinforcement is assumed to be class B or C to BS 4449 with a horizontal design branch (no strain limit), which is the usual UK simplification.</t>
  </si>
  <si>
    <t>National Annex</t>
  </si>
  <si>
    <t>•  The Parameters tab carries every Nationally Determined Parameter used, with the EN recommended value and the UK NA value side by side. Switching the yellow cell in section 1 changes every sheet.</t>
  </si>
  <si>
    <t>•  The most consequential difference is αcc: 1.00 in the EN recommended set against 0.85 in the UK NA. It changes fcd, and therefore K', z and the required steel area.</t>
  </si>
  <si>
    <t>•  With the UK NA and no redistribution, x/d ≤ 0.60 is permitted, but 0.45 is the customary practical cap and gives the familiar K' = 0.168. The cap is a yellow input on the Parameters tab.</t>
  </si>
  <si>
    <t>Key expressions used</t>
  </si>
  <si>
    <t>•  Flexure:  K = MEd/(b·d²·fck);  K' = λ·η·(αcc/γC)·ξ·(1 − λξ/2);  z = d/2·[1 + √(1 − 2K/(η·αcc/γC))] ≤ 0.95d;  As = MEd/(fyd·z).</t>
  </si>
  <si>
    <t>•  With the UK NA this reduces to the familiar z = d/2·[1 + √(1 − 3.53K)].</t>
  </si>
  <si>
    <t>•  Shear:  vRd,c = CRd,c·k·(100ρ1·fck)^(1/3) ≥ vmin;  Asw/s = VEd/(z·fywd·cot θ);  VRd,max = αcw·bw·z·ν1·fcd/(cot θ + tan θ).</t>
  </si>
  <si>
    <t>•  Deflection:  expressions 7.16a and 7.16b, factored by K (Table 7.4N), the flanged-section factor, 7/leff for long spans and As,prov/As,req ≤ 1.5 for the steel stress.</t>
  </si>
  <si>
    <t>•  Columns:  nominal curvature method, 1/r = Kr·Kφ·εyd/(0.45d),  e2 = (1/r)·l0²/10.</t>
  </si>
  <si>
    <t>•  Pad footings:  punching resistance enhanced by 2d/a and checked on perimeters from 0.25d to 2.0d, with the soil pressure inside each perimeter deducted from NEd.</t>
  </si>
  <si>
    <t>Assumptions and limitations</t>
  </si>
  <si>
    <t>•  Beams are single-span and rectangular; flanged (T and L) sections are not covered. Set the flanged-section factor F1 = 0.8 in the deflection check only if you have designed the flange separately.</t>
  </si>
  <si>
    <t>•  Tension steel is assumed to sit in a single layer. For two layers, adjust the effective depth by hand before reading the results.</t>
  </si>
  <si>
    <t>•  The column interaction diagram models two symmetrical bar layers on the faces parallel to the axis of bending. Bars on the side faces are ignored, which is safe but slightly conservative.</t>
  </si>
  <si>
    <t>•  Biaxial bending (5.8.9), torsion (6.3), fatigue, fire design (EN 1992-1-2) and detailed crack-width calculation (7.3.4) are outside the scope of these sheets.</t>
  </si>
  <si>
    <t>•  Bearing pressures are treated as uniform. Footings carrying significant moment need a separate check for the resulting pressure distribution and for the β factor used in punching.</t>
  </si>
  <si>
    <t>•  The two-way slab coefficients are the BS 8110 Table 3.13 values for a simply supported slab with corners not held down. EN 1992-1-1 gives no such table; these coefficients remain accepted UK practice and are noted as being outside the Eurocode itself.</t>
  </si>
  <si>
    <t>Using and checking the sheets</t>
  </si>
  <si>
    <t>•  Enter data only in the yellow cells. Every other cell is a live formula.</t>
  </si>
  <si>
    <t>•  Blue text carries the interpretation of a check; the green banner near the foot of each sheet aggregates them all.</t>
  </si>
  <si>
    <t>•  Verify any sheet against a worked example before using it in earnest. The beam sheet reproduces the Concrete Centre 'How to design concrete structures using Eurocode 2' beam example to within rounding.</t>
  </si>
  <si>
    <t>•  These sheets support design; they do not replace the judgement of the responsible engineer, and the results should be checked independently before being issued.</t>
  </si>
  <si>
    <t>References</t>
  </si>
  <si>
    <t>•  BS EN 1992-1-1:2004 +A1:2014, Eurocode 2: Design of concrete structures — Part 1-1: General rules and rules for buildings.</t>
  </si>
  <si>
    <t>•  NA to BS EN 1992-1-1:2004 +A1:2014, UK National Annex.</t>
  </si>
  <si>
    <t>•  BS EN 1990:2002 +A1:2005, Eurocode: Basis of structural design (equation 6.10 and Table A1.1).</t>
  </si>
  <si>
    <t>•  BS EN 1997-1:2004, Eurocode 7: Geotechnical design — Part 1: General rules.</t>
  </si>
  <si>
    <t>•  The Concrete Centre, How to design concrete structures using Eurocode 2, 2nd edition.</t>
  </si>
  <si>
    <t>•  BS 8110-1:1997, Table 3.13 — two-way slab moment coefficients only.</t>
  </si>
  <si>
    <t>Eurocode 2 RC Design Sheets - free sample</t>
  </si>
  <si>
    <t>This is one complete, unlocked design sheet from the full Eurocode 2 pack, to EN 1992-1-1.</t>
  </si>
  <si>
    <t>Nothing is trimmed or disabled: every formula is live, every cell is readable, and the</t>
  </si>
  <si>
    <t>Parameters tab it depends on is included. Change the yellow inputs and it recalculates.</t>
  </si>
  <si>
    <t>What is in this file</t>
  </si>
  <si>
    <t xml:space="preserve">  Parameters            - Nationally Determined Parameters, material data and lookup tables</t>
  </si>
  <si>
    <t xml:space="preserve">  EC2 Beam SR           - singly reinforced rectangular beam, designed end to end</t>
  </si>
  <si>
    <t xml:space="preserve">  Notes &amp; References    - scope, assumptions, limitations and the sources used</t>
  </si>
  <si>
    <t>What the full pack adds</t>
  </si>
  <si>
    <t xml:space="preserve">  Sheets for doubly reinforced beams, one-way and two-way slabs, braced columns and</t>
  </si>
  <si>
    <t xml:space="preserve">  isolated pad footings.</t>
  </si>
  <si>
    <t xml:space="preserve">  https://devangbhujbal.com/eurocode-2-pack.html</t>
  </si>
  <si>
    <t>Please check it before you trust it</t>
  </si>
  <si>
    <t>That is the point of the sample. Run it against a worked example you already have and</t>
  </si>
  <si>
    <t>satisfy yourself the numbers are right. These sheets support design; they do not replace</t>
  </si>
  <si>
    <t>the judgement of the responsible engineer, and results should be checked independently.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</si>
</sst>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00"/>
    <numFmt numFmtId="166" formatCode="0.000"/>
    <numFmt numFmtId="167" formatCode="0.0"/>
  </numFmts>
  <fonts count="14" x14ac:knownFonts="1">
    <font>
      <sz val="11"/>
      <color theme="1"/>
      <name val="Calibri"/>
      <family val="2"/>
      <charset val="1"/>
    </font>
    <font>
      <b/>
      <sz val="16"/>
      <name val="Calibri"/>
      <charset val="1"/>
    </font>
    <font>
      <i/>
      <sz val="12"/>
      <name val="Calibri"/>
      <charset val="1"/>
    </font>
    <font>
      <b/>
      <sz val="12"/>
      <name val="Calibri"/>
      <charset val="1"/>
    </font>
    <font>
      <sz val="12"/>
      <name val="Calibri"/>
      <charset val="1"/>
    </font>
    <font>
      <i/>
      <sz val="10"/>
      <color rgb="FF595959"/>
      <name val="Calibri"/>
      <charset val="1"/>
    </font>
    <font>
      <b/>
      <sz val="11"/>
      <name val="Calibri"/>
      <charset val="1"/>
    </font>
    <font>
      <sz val="11"/>
      <name val="Calibri"/>
      <charset val="1"/>
    </font>
    <font>
      <sz val="10"/>
      <name val="Calibri"/>
      <charset val="1"/>
    </font>
    <font>
      <b/>
      <sz val="12"/>
      <color rgb="FFC00000"/>
      <name val="Calibri"/>
      <charset val="1"/>
    </font>
    <font>
      <b/>
      <sz val="12"/>
      <color rgb="FF0070C0"/>
      <name val="Calibri"/>
      <charset val="1"/>
    </font>
    <font>
      <b/>
      <sz val="16"/>
      <color theme="1"/>
      <name val="Calibri"/>
      <family val="2"/>
    </font>
    <font>
      <sz val="11"/>
      <color theme="1"/>
      <name val="Calibri"/>
      <family val="2"/>
    </font>
    <font>
      <b/>
      <sz val="12"/>
      <color theme="1"/>
      <name val="Calibri"/>
      <family val="2"/>
    </font>
  </fonts>
  <fills count="7">
    <fill>
      <patternFill patternType="none"/>
    </fill>
    <fill>
      <patternFill patternType="gray125"/>
    </fill>
    <fill>
      <patternFill patternType="solid">
        <fgColor rgb="FFDDEBF7"/>
        <bgColor rgb="FFD9D9D9"/>
      </patternFill>
    </fill>
    <fill>
      <patternFill patternType="solid">
        <fgColor rgb="FFD9D9D9"/>
        <bgColor rgb="FFDDEBF7"/>
      </patternFill>
    </fill>
    <fill>
      <patternFill patternType="solid">
        <fgColor rgb="FFFFE699"/>
        <bgColor rgb="FFFFCC99"/>
      </patternFill>
    </fill>
    <fill>
      <patternFill patternType="solid">
        <fgColor rgb="FFA9D08E"/>
        <bgColor rgb="FFD9D9D9"/>
      </patternFill>
    </fill>
    <fill>
      <patternFill patternType="solid">
        <fgColor rgb="FFDDE9F7"/>
        <bgColor indexed="64"/>
      </patternFill>
    </fill>
  </fills>
  <borders count="4">
    <border>
      <left/>
      <right/>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s>
  <cellStyleXfs count="1">
    <xf numFmtId="0" fontId="0" fillId="0" borderId="0"/>
  </cellStyleXfs>
  <cellXfs count="50">
    <xf numFmtId="0" fontId="0" fillId="0" borderId="0" xfId="0"/>
    <xf numFmtId="0" fontId="3" fillId="3" borderId="0" xfId="0" applyFont="1" applyFill="1" applyAlignment="1">
      <alignment horizontal="left" vertical="center"/>
    </xf>
    <xf numFmtId="0" fontId="4" fillId="0" borderId="0" xfId="0" applyFont="1" applyAlignment="1">
      <alignment horizontal="left" vertical="center"/>
    </xf>
    <xf numFmtId="0" fontId="3" fillId="4" borderId="1" xfId="0" applyFont="1" applyFill="1" applyBorder="1" applyAlignment="1">
      <alignment horizontal="center" vertical="center"/>
    </xf>
    <xf numFmtId="0" fontId="5" fillId="0" borderId="0" xfId="0" applyFont="1" applyAlignment="1">
      <alignment horizontal="left" vertical="center"/>
    </xf>
    <xf numFmtId="0" fontId="6" fillId="3" borderId="1" xfId="0" applyFont="1" applyFill="1" applyBorder="1" applyAlignment="1">
      <alignment horizontal="center" vertical="center"/>
    </xf>
    <xf numFmtId="0" fontId="6" fillId="0" borderId="0" xfId="0" applyFont="1" applyAlignment="1">
      <alignment horizontal="center" vertical="center"/>
    </xf>
    <xf numFmtId="164" fontId="3" fillId="0" borderId="1" xfId="0" applyNumberFormat="1" applyFont="1" applyBorder="1" applyAlignment="1">
      <alignment horizontal="center" vertical="center"/>
    </xf>
    <xf numFmtId="0" fontId="4" fillId="0" borderId="0" xfId="0" applyFont="1"/>
    <xf numFmtId="164" fontId="7" fillId="0" borderId="1" xfId="0" applyNumberFormat="1" applyFont="1" applyBorder="1" applyAlignment="1">
      <alignment horizontal="center" vertical="center"/>
    </xf>
    <xf numFmtId="0" fontId="7" fillId="0" borderId="1" xfId="0" applyFont="1" applyBorder="1" applyAlignment="1">
      <alignment horizontal="center" vertical="center"/>
    </xf>
    <xf numFmtId="1" fontId="3"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166" fontId="3" fillId="0" borderId="1" xfId="0" applyNumberFormat="1" applyFont="1" applyBorder="1" applyAlignment="1">
      <alignment horizontal="center" vertical="center"/>
    </xf>
    <xf numFmtId="2" fontId="3" fillId="0" borderId="1" xfId="0" applyNumberFormat="1" applyFont="1" applyBorder="1" applyAlignment="1">
      <alignment horizontal="center" vertical="center"/>
    </xf>
    <xf numFmtId="166" fontId="3" fillId="4" borderId="1" xfId="0" applyNumberFormat="1" applyFont="1" applyFill="1" applyBorder="1" applyAlignment="1">
      <alignment horizontal="center" vertical="center"/>
    </xf>
    <xf numFmtId="2" fontId="3" fillId="4" borderId="1" xfId="0" applyNumberFormat="1" applyFont="1" applyFill="1" applyBorder="1" applyAlignment="1">
      <alignment horizontal="center" vertical="center"/>
    </xf>
    <xf numFmtId="1" fontId="8" fillId="0" borderId="1" xfId="0" applyNumberFormat="1" applyFont="1" applyBorder="1" applyAlignment="1">
      <alignment horizontal="center" vertical="center"/>
    </xf>
    <xf numFmtId="2" fontId="8" fillId="0" borderId="1" xfId="0" applyNumberFormat="1" applyFont="1" applyBorder="1" applyAlignment="1">
      <alignment horizontal="center" vertical="center"/>
    </xf>
    <xf numFmtId="167"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6" fillId="0" borderId="0" xfId="0" applyFont="1" applyAlignment="1">
      <alignment horizontal="right" vertical="center"/>
    </xf>
    <xf numFmtId="1" fontId="4" fillId="4" borderId="1" xfId="0" applyNumberFormat="1" applyFont="1" applyFill="1" applyBorder="1" applyAlignment="1">
      <alignment horizontal="right" vertical="center"/>
    </xf>
    <xf numFmtId="166" fontId="4" fillId="4" borderId="1" xfId="0" applyNumberFormat="1" applyFont="1" applyFill="1" applyBorder="1" applyAlignment="1">
      <alignment horizontal="right" vertical="center"/>
    </xf>
    <xf numFmtId="0" fontId="4" fillId="4" borderId="1" xfId="0" applyFont="1" applyFill="1" applyBorder="1" applyAlignment="1">
      <alignment horizontal="right" vertical="center"/>
    </xf>
    <xf numFmtId="1" fontId="4" fillId="0" borderId="1" xfId="0" applyNumberFormat="1" applyFont="1" applyBorder="1" applyAlignment="1">
      <alignment horizontal="right" vertical="center"/>
    </xf>
    <xf numFmtId="167" fontId="4" fillId="0" borderId="1" xfId="0" applyNumberFormat="1" applyFont="1" applyBorder="1" applyAlignment="1">
      <alignment horizontal="right" vertical="center"/>
    </xf>
    <xf numFmtId="166" fontId="4" fillId="0" borderId="1" xfId="0" applyNumberFormat="1" applyFont="1" applyBorder="1" applyAlignment="1">
      <alignment horizontal="right" vertical="center"/>
    </xf>
    <xf numFmtId="2" fontId="4" fillId="0" borderId="1" xfId="0" applyNumberFormat="1" applyFont="1" applyBorder="1" applyAlignment="1">
      <alignment horizontal="right" vertical="center"/>
    </xf>
    <xf numFmtId="2" fontId="4" fillId="4" borderId="1" xfId="0" applyNumberFormat="1" applyFont="1" applyFill="1" applyBorder="1" applyAlignment="1">
      <alignment horizontal="right" vertical="center"/>
    </xf>
    <xf numFmtId="164" fontId="4" fillId="0" borderId="1" xfId="0" applyNumberFormat="1" applyFont="1" applyBorder="1" applyAlignment="1">
      <alignment horizontal="right" vertical="center"/>
    </xf>
    <xf numFmtId="0" fontId="10" fillId="0" borderId="0" xfId="0" applyFont="1" applyAlignment="1">
      <alignment horizontal="left" vertical="center"/>
    </xf>
    <xf numFmtId="0" fontId="4" fillId="4" borderId="1" xfId="0" applyFont="1" applyFill="1" applyBorder="1" applyAlignment="1">
      <alignment horizontal="right" vertical="center" wrapText="1"/>
    </xf>
    <xf numFmtId="165" fontId="4" fillId="0" borderId="1" xfId="0" applyNumberFormat="1" applyFont="1" applyBorder="1" applyAlignment="1">
      <alignment horizontal="right" vertical="center"/>
    </xf>
    <xf numFmtId="1" fontId="3" fillId="5" borderId="1" xfId="0" applyNumberFormat="1" applyFont="1" applyFill="1" applyBorder="1" applyAlignment="1">
      <alignment horizontal="right" vertical="center"/>
    </xf>
    <xf numFmtId="0" fontId="4" fillId="5" borderId="1" xfId="0" applyFont="1" applyFill="1" applyBorder="1"/>
    <xf numFmtId="167" fontId="3" fillId="5" borderId="1" xfId="0" applyNumberFormat="1" applyFont="1" applyFill="1" applyBorder="1" applyAlignment="1">
      <alignment horizontal="right" vertical="center"/>
    </xf>
    <xf numFmtId="0" fontId="7" fillId="0" borderId="0" xfId="0" applyFont="1" applyAlignment="1">
      <alignment horizontal="left" vertical="top" wrapText="1"/>
    </xf>
    <xf numFmtId="0" fontId="12" fillId="0" borderId="0" xfId="0" applyFont="1"/>
    <xf numFmtId="0" fontId="13" fillId="0" borderId="0" xfId="0" applyFont="1"/>
    <xf numFmtId="0" fontId="11" fillId="6" borderId="0" xfId="0" applyFont="1" applyFill="1"/>
    <xf numFmtId="0" fontId="3" fillId="3" borderId="0" xfId="0" applyFont="1" applyFill="1" applyAlignment="1">
      <alignment horizontal="left" vertical="center"/>
    </xf>
    <xf numFmtId="0" fontId="4" fillId="0" borderId="0" xfId="0" applyFont="1" applyAlignment="1">
      <alignment horizontal="left" vertical="center"/>
    </xf>
    <xf numFmtId="0" fontId="1" fillId="2" borderId="0" xfId="0" applyFont="1" applyFill="1" applyAlignment="1">
      <alignment horizontal="center" vertical="center"/>
    </xf>
    <xf numFmtId="0" fontId="2" fillId="0" borderId="0" xfId="0" applyFont="1" applyAlignment="1">
      <alignment horizontal="center" vertical="center"/>
    </xf>
    <xf numFmtId="0" fontId="4" fillId="5" borderId="2" xfId="0" applyFont="1" applyFill="1" applyBorder="1" applyAlignment="1">
      <alignment horizontal="left" vertical="center"/>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9" fillId="5" borderId="0" xfId="0" applyFont="1" applyFill="1" applyAlignment="1">
      <alignment horizontal="left" vertical="center"/>
    </xf>
    <xf numFmtId="0" fontId="9"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9CA6E-F775-4E58-BE93-C985283F1F35}">
  <dimension ref="B1:B20"/>
  <sheetViews>
    <sheetView tabSelected="1" workbookViewId="0">
      <selection activeCell="B1" sqref="B1"/>
    </sheetView>
  </sheetViews>
  <sheetFormatPr defaultRowHeight="14.4" x14ac:dyDescent="0.3"/>
  <cols>
    <col min="1" max="1" width="3.77734375" customWidth="1"/>
    <col min="2" max="2" width="118.77734375" customWidth="1"/>
  </cols>
  <sheetData>
    <row r="1" spans="2:2" ht="30" customHeight="1" x14ac:dyDescent="0.4">
      <c r="B1" s="40" t="s">
        <v>407</v>
      </c>
    </row>
    <row r="2" spans="2:2" x14ac:dyDescent="0.3">
      <c r="B2" s="38"/>
    </row>
    <row r="3" spans="2:2" x14ac:dyDescent="0.3">
      <c r="B3" s="38" t="s">
        <v>408</v>
      </c>
    </row>
    <row r="4" spans="2:2" x14ac:dyDescent="0.3">
      <c r="B4" s="38" t="s">
        <v>409</v>
      </c>
    </row>
    <row r="5" spans="2:2" x14ac:dyDescent="0.3">
      <c r="B5" s="38" t="s">
        <v>410</v>
      </c>
    </row>
    <row r="6" spans="2:2" x14ac:dyDescent="0.3">
      <c r="B6" s="38"/>
    </row>
    <row r="7" spans="2:2" ht="15.6" x14ac:dyDescent="0.3">
      <c r="B7" s="39" t="s">
        <v>411</v>
      </c>
    </row>
    <row r="8" spans="2:2" x14ac:dyDescent="0.3">
      <c r="B8" s="38" t="s">
        <v>412</v>
      </c>
    </row>
    <row r="9" spans="2:2" x14ac:dyDescent="0.3">
      <c r="B9" s="38" t="s">
        <v>413</v>
      </c>
    </row>
    <row r="10" spans="2:2" x14ac:dyDescent="0.3">
      <c r="B10" s="38" t="s">
        <v>414</v>
      </c>
    </row>
    <row r="11" spans="2:2" x14ac:dyDescent="0.3">
      <c r="B11" s="38"/>
    </row>
    <row r="12" spans="2:2" ht="15.6" x14ac:dyDescent="0.3">
      <c r="B12" s="39" t="s">
        <v>415</v>
      </c>
    </row>
    <row r="13" spans="2:2" x14ac:dyDescent="0.3">
      <c r="B13" s="38" t="s">
        <v>416</v>
      </c>
    </row>
    <row r="14" spans="2:2" x14ac:dyDescent="0.3">
      <c r="B14" s="38" t="s">
        <v>417</v>
      </c>
    </row>
    <row r="15" spans="2:2" x14ac:dyDescent="0.3">
      <c r="B15" s="38" t="s">
        <v>418</v>
      </c>
    </row>
    <row r="16" spans="2:2" x14ac:dyDescent="0.3">
      <c r="B16" s="38"/>
    </row>
    <row r="17" spans="2:2" ht="15.6" x14ac:dyDescent="0.3">
      <c r="B17" s="39" t="s">
        <v>419</v>
      </c>
    </row>
    <row r="18" spans="2:2" x14ac:dyDescent="0.3">
      <c r="B18" s="38" t="s">
        <v>420</v>
      </c>
    </row>
    <row r="19" spans="2:2" x14ac:dyDescent="0.3">
      <c r="B19" s="38" t="s">
        <v>421</v>
      </c>
    </row>
    <row r="20" spans="2:2" x14ac:dyDescent="0.3">
      <c r="B20" s="38" t="s">
        <v>422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8A6EF-1175-457D-B16A-523890864BB0}">
  <sheetPr>
    <pageSetUpPr fitToPage="1"/>
  </sheetPr>
  <dimension ref="A1:I79"/>
  <sheetViews>
    <sheetView showGridLines="0" zoomScaleNormal="100" workbookViewId="0">
      <pane ySplit="3" topLeftCell="A4" activePane="bottomLeft" state="frozen"/>
      <selection pane="bottomLeft" activeCell="E5" sqref="E5"/>
    </sheetView>
  </sheetViews>
  <sheetFormatPr defaultColWidth="8.6640625" defaultRowHeight="14.4" x14ac:dyDescent="0.3"/>
  <cols>
    <col min="1" max="1" width="5.5546875" customWidth="1"/>
    <col min="2" max="2" width="30" customWidth="1"/>
    <col min="3" max="4" width="13" customWidth="1"/>
    <col min="5" max="5" width="14" customWidth="1"/>
    <col min="6" max="6" width="11" customWidth="1"/>
    <col min="7" max="7" width="24.5546875" customWidth="1"/>
    <col min="8" max="8" width="10" customWidth="1"/>
    <col min="9" max="9" width="52" customWidth="1"/>
    <col min="10" max="13" width="12" customWidth="1"/>
  </cols>
  <sheetData>
    <row r="1" spans="1:9" ht="21" x14ac:dyDescent="0.3">
      <c r="A1" s="43" t="s">
        <v>0</v>
      </c>
      <c r="B1" s="43"/>
      <c r="C1" s="43"/>
      <c r="D1" s="43"/>
      <c r="E1" s="43"/>
      <c r="F1" s="43"/>
      <c r="G1" s="43"/>
      <c r="H1" s="43"/>
      <c r="I1" s="43"/>
    </row>
    <row r="2" spans="1:9" ht="15.6" x14ac:dyDescent="0.3">
      <c r="A2" s="44" t="s">
        <v>1</v>
      </c>
      <c r="B2" s="44"/>
      <c r="C2" s="44"/>
      <c r="D2" s="44"/>
      <c r="E2" s="44"/>
      <c r="F2" s="44"/>
      <c r="G2" s="44"/>
      <c r="H2" s="44"/>
      <c r="I2" s="44"/>
    </row>
    <row r="4" spans="1:9" ht="15.6" x14ac:dyDescent="0.3">
      <c r="A4" s="41" t="s">
        <v>2</v>
      </c>
      <c r="B4" s="41"/>
      <c r="C4" s="41"/>
      <c r="D4" s="41"/>
      <c r="E4" s="41"/>
      <c r="F4" s="41"/>
      <c r="G4" s="41"/>
      <c r="H4" s="41"/>
      <c r="I4" s="41"/>
    </row>
    <row r="5" spans="1:9" ht="15.6" x14ac:dyDescent="0.3">
      <c r="B5" s="42" t="s">
        <v>3</v>
      </c>
      <c r="C5" s="42"/>
      <c r="E5" s="3" t="s">
        <v>4</v>
      </c>
      <c r="I5" s="4" t="s">
        <v>5</v>
      </c>
    </row>
    <row r="6" spans="1:9" x14ac:dyDescent="0.3">
      <c r="I6" s="4" t="s">
        <v>6</v>
      </c>
    </row>
    <row r="8" spans="1:9" ht="15.6" x14ac:dyDescent="0.3">
      <c r="A8" s="41" t="s">
        <v>7</v>
      </c>
      <c r="B8" s="41"/>
      <c r="C8" s="41"/>
      <c r="D8" s="41"/>
      <c r="E8" s="41"/>
      <c r="F8" s="41"/>
      <c r="G8" s="41"/>
      <c r="H8" s="41"/>
      <c r="I8" s="41"/>
    </row>
    <row r="9" spans="1:9" x14ac:dyDescent="0.3">
      <c r="B9" s="5" t="s">
        <v>8</v>
      </c>
      <c r="D9" s="5" t="s">
        <v>9</v>
      </c>
      <c r="E9" s="5" t="s">
        <v>10</v>
      </c>
      <c r="F9" s="5" t="s">
        <v>11</v>
      </c>
      <c r="G9" s="5" t="s">
        <v>12</v>
      </c>
      <c r="H9" s="5" t="s">
        <v>4</v>
      </c>
      <c r="I9" s="5" t="s">
        <v>13</v>
      </c>
    </row>
    <row r="10" spans="1:9" ht="15.6" x14ac:dyDescent="0.3">
      <c r="B10" s="42" t="s">
        <v>14</v>
      </c>
      <c r="C10" s="42"/>
      <c r="D10" s="6" t="s">
        <v>15</v>
      </c>
      <c r="E10" s="7">
        <f t="shared" ref="E10:E19" si="0">IF($E$5="UK NA",H10,G10)</f>
        <v>1.5</v>
      </c>
      <c r="F10" s="8"/>
      <c r="G10" s="9">
        <v>1.5</v>
      </c>
      <c r="H10" s="9">
        <v>1.5</v>
      </c>
      <c r="I10" s="4" t="s">
        <v>16</v>
      </c>
    </row>
    <row r="11" spans="1:9" ht="15.6" x14ac:dyDescent="0.3">
      <c r="B11" s="42" t="s">
        <v>17</v>
      </c>
      <c r="C11" s="42"/>
      <c r="D11" s="6" t="s">
        <v>18</v>
      </c>
      <c r="E11" s="7">
        <f t="shared" si="0"/>
        <v>1.1499999999999999</v>
      </c>
      <c r="F11" s="8"/>
      <c r="G11" s="9">
        <v>1.1499999999999999</v>
      </c>
      <c r="H11" s="9">
        <v>1.1499999999999999</v>
      </c>
      <c r="I11" s="4" t="s">
        <v>16</v>
      </c>
    </row>
    <row r="12" spans="1:9" ht="15.6" x14ac:dyDescent="0.3">
      <c r="B12" s="42" t="s">
        <v>19</v>
      </c>
      <c r="C12" s="42"/>
      <c r="D12" s="6" t="s">
        <v>20</v>
      </c>
      <c r="E12" s="7">
        <f t="shared" si="0"/>
        <v>0.85</v>
      </c>
      <c r="F12" s="8"/>
      <c r="G12" s="9">
        <v>1</v>
      </c>
      <c r="H12" s="9">
        <v>0.85</v>
      </c>
      <c r="I12" s="4" t="s">
        <v>21</v>
      </c>
    </row>
    <row r="13" spans="1:9" ht="15.6" x14ac:dyDescent="0.3">
      <c r="B13" s="42" t="s">
        <v>22</v>
      </c>
      <c r="C13" s="42"/>
      <c r="D13" s="6" t="s">
        <v>23</v>
      </c>
      <c r="E13" s="7">
        <f t="shared" si="0"/>
        <v>1</v>
      </c>
      <c r="F13" s="8"/>
      <c r="G13" s="9">
        <v>1</v>
      </c>
      <c r="H13" s="9">
        <v>1</v>
      </c>
      <c r="I13" s="4" t="s">
        <v>24</v>
      </c>
    </row>
    <row r="14" spans="1:9" ht="15.6" x14ac:dyDescent="0.3">
      <c r="B14" s="42" t="s">
        <v>25</v>
      </c>
      <c r="C14" s="42"/>
      <c r="D14" s="6" t="s">
        <v>26</v>
      </c>
      <c r="E14" s="7">
        <f t="shared" si="0"/>
        <v>0.4</v>
      </c>
      <c r="F14" s="8"/>
      <c r="G14" s="9">
        <v>0.44</v>
      </c>
      <c r="H14" s="9">
        <v>0.4</v>
      </c>
      <c r="I14" s="4" t="s">
        <v>27</v>
      </c>
    </row>
    <row r="15" spans="1:9" ht="15.6" x14ac:dyDescent="0.3">
      <c r="B15" s="42" t="s">
        <v>28</v>
      </c>
      <c r="C15" s="42"/>
      <c r="D15" s="6" t="s">
        <v>29</v>
      </c>
      <c r="E15" s="7">
        <f t="shared" si="0"/>
        <v>1</v>
      </c>
      <c r="F15" s="8"/>
      <c r="G15" s="9">
        <v>1.25</v>
      </c>
      <c r="H15" s="9">
        <v>1</v>
      </c>
      <c r="I15" s="4" t="s">
        <v>27</v>
      </c>
    </row>
    <row r="16" spans="1:9" ht="15.6" x14ac:dyDescent="0.3">
      <c r="B16" s="42" t="s">
        <v>30</v>
      </c>
      <c r="C16" s="42"/>
      <c r="D16" s="6" t="s">
        <v>26</v>
      </c>
      <c r="E16" s="7">
        <f t="shared" si="0"/>
        <v>0.15</v>
      </c>
      <c r="F16" s="8"/>
      <c r="G16" s="9">
        <v>0.15</v>
      </c>
      <c r="H16" s="9">
        <v>0.15</v>
      </c>
      <c r="I16" s="4" t="s">
        <v>31</v>
      </c>
    </row>
    <row r="17" spans="1:9" ht="15.6" x14ac:dyDescent="0.3">
      <c r="B17" s="42" t="s">
        <v>32</v>
      </c>
      <c r="C17" s="42"/>
      <c r="D17" s="6" t="s">
        <v>33</v>
      </c>
      <c r="E17" s="7">
        <f t="shared" si="0"/>
        <v>1</v>
      </c>
      <c r="F17" s="8"/>
      <c r="G17" s="9">
        <v>1</v>
      </c>
      <c r="H17" s="9">
        <v>1</v>
      </c>
      <c r="I17" s="4" t="s">
        <v>34</v>
      </c>
    </row>
    <row r="18" spans="1:9" ht="15.6" x14ac:dyDescent="0.3">
      <c r="B18" s="42" t="s">
        <v>35</v>
      </c>
      <c r="C18" s="42"/>
      <c r="D18" s="6" t="s">
        <v>36</v>
      </c>
      <c r="E18" s="7">
        <f t="shared" si="0"/>
        <v>2.5</v>
      </c>
      <c r="F18" s="8"/>
      <c r="G18" s="9">
        <v>2.5</v>
      </c>
      <c r="H18" s="9">
        <v>2.5</v>
      </c>
      <c r="I18" s="4" t="s">
        <v>34</v>
      </c>
    </row>
    <row r="19" spans="1:9" ht="15.6" x14ac:dyDescent="0.3">
      <c r="B19" s="42" t="s">
        <v>37</v>
      </c>
      <c r="C19" s="42"/>
      <c r="D19" s="6" t="s">
        <v>38</v>
      </c>
      <c r="E19" s="7">
        <f t="shared" si="0"/>
        <v>1</v>
      </c>
      <c r="F19" s="8"/>
      <c r="G19" s="9">
        <v>1</v>
      </c>
      <c r="H19" s="9">
        <v>1</v>
      </c>
      <c r="I19" s="4" t="s">
        <v>39</v>
      </c>
    </row>
    <row r="20" spans="1:9" ht="15.6" x14ac:dyDescent="0.3">
      <c r="B20" s="42" t="s">
        <v>40</v>
      </c>
      <c r="C20" s="42"/>
      <c r="D20" s="6" t="s">
        <v>41</v>
      </c>
      <c r="E20" s="7">
        <f>0.18/E10</f>
        <v>0.12</v>
      </c>
      <c r="F20" s="8"/>
      <c r="G20" s="10" t="s">
        <v>42</v>
      </c>
      <c r="H20" s="10" t="s">
        <v>42</v>
      </c>
      <c r="I20" s="4" t="s">
        <v>31</v>
      </c>
    </row>
    <row r="21" spans="1:9" ht="15.6" x14ac:dyDescent="0.3">
      <c r="B21" s="42" t="s">
        <v>43</v>
      </c>
      <c r="C21" s="42"/>
      <c r="D21" s="6" t="s">
        <v>44</v>
      </c>
      <c r="E21" s="11">
        <v>200000</v>
      </c>
      <c r="F21" s="8" t="s">
        <v>45</v>
      </c>
      <c r="G21" s="10">
        <v>200000</v>
      </c>
      <c r="H21" s="10">
        <v>200000</v>
      </c>
      <c r="I21" s="4" t="s">
        <v>46</v>
      </c>
    </row>
    <row r="22" spans="1:9" ht="15.6" x14ac:dyDescent="0.3">
      <c r="B22" s="42" t="s">
        <v>47</v>
      </c>
      <c r="C22" s="42"/>
      <c r="D22" s="6" t="s">
        <v>48</v>
      </c>
      <c r="E22" s="12">
        <v>3.5000000000000001E-3</v>
      </c>
      <c r="F22" s="8"/>
      <c r="G22" s="10">
        <v>3.5000000000000001E-3</v>
      </c>
      <c r="H22" s="10">
        <v>3.5000000000000001E-3</v>
      </c>
      <c r="I22" s="4" t="s">
        <v>49</v>
      </c>
    </row>
    <row r="23" spans="1:9" ht="15.6" x14ac:dyDescent="0.3">
      <c r="B23" s="42" t="s">
        <v>50</v>
      </c>
      <c r="C23" s="42"/>
      <c r="D23" s="6" t="s">
        <v>51</v>
      </c>
      <c r="E23" s="12">
        <v>2E-3</v>
      </c>
      <c r="F23" s="8"/>
      <c r="G23" s="10">
        <v>2E-3</v>
      </c>
      <c r="H23" s="10">
        <v>2E-3</v>
      </c>
      <c r="I23" s="4" t="s">
        <v>49</v>
      </c>
    </row>
    <row r="24" spans="1:9" ht="15.6" x14ac:dyDescent="0.3">
      <c r="B24" s="42" t="s">
        <v>52</v>
      </c>
      <c r="C24" s="42"/>
      <c r="D24" s="6" t="s">
        <v>53</v>
      </c>
      <c r="E24" s="13">
        <v>0.8</v>
      </c>
      <c r="F24" s="8"/>
      <c r="G24" s="10">
        <v>0.8</v>
      </c>
      <c r="H24" s="10">
        <v>0.8</v>
      </c>
      <c r="I24" s="4" t="s">
        <v>54</v>
      </c>
    </row>
    <row r="25" spans="1:9" ht="15.6" x14ac:dyDescent="0.3">
      <c r="B25" s="42" t="s">
        <v>55</v>
      </c>
      <c r="C25" s="42"/>
      <c r="D25" s="6" t="s">
        <v>56</v>
      </c>
      <c r="E25" s="13">
        <v>1</v>
      </c>
      <c r="F25" s="8"/>
      <c r="G25" s="10">
        <v>1</v>
      </c>
      <c r="H25" s="10">
        <v>1</v>
      </c>
      <c r="I25" s="4" t="s">
        <v>54</v>
      </c>
    </row>
    <row r="26" spans="1:9" ht="15.6" x14ac:dyDescent="0.3">
      <c r="B26" s="42" t="s">
        <v>57</v>
      </c>
      <c r="C26" s="42"/>
      <c r="D26" s="6" t="s">
        <v>58</v>
      </c>
      <c r="E26" s="11">
        <v>10</v>
      </c>
      <c r="F26" s="8" t="s">
        <v>59</v>
      </c>
      <c r="G26" s="10">
        <v>10</v>
      </c>
      <c r="H26" s="10">
        <v>10</v>
      </c>
      <c r="I26" s="4" t="s">
        <v>60</v>
      </c>
    </row>
    <row r="27" spans="1:9" ht="15.6" x14ac:dyDescent="0.3">
      <c r="B27" s="42" t="s">
        <v>61</v>
      </c>
      <c r="C27" s="42"/>
      <c r="D27" s="6" t="s">
        <v>62</v>
      </c>
      <c r="E27" s="14">
        <v>1.5</v>
      </c>
      <c r="F27" s="8"/>
      <c r="G27" s="10">
        <v>1.5</v>
      </c>
      <c r="H27" s="10">
        <v>1.5</v>
      </c>
      <c r="I27" s="4" t="s">
        <v>63</v>
      </c>
    </row>
    <row r="28" spans="1:9" ht="15.6" x14ac:dyDescent="0.3">
      <c r="B28" s="42" t="s">
        <v>64</v>
      </c>
      <c r="C28" s="42"/>
      <c r="D28" s="6" t="s">
        <v>65</v>
      </c>
      <c r="E28" s="15">
        <v>0.45</v>
      </c>
      <c r="I28" s="4" t="s">
        <v>66</v>
      </c>
    </row>
    <row r="30" spans="1:9" ht="15.6" x14ac:dyDescent="0.3">
      <c r="A30" s="41" t="s">
        <v>67</v>
      </c>
      <c r="B30" s="41"/>
      <c r="C30" s="41"/>
      <c r="D30" s="41"/>
      <c r="E30" s="41"/>
      <c r="F30" s="41"/>
      <c r="G30" s="41"/>
      <c r="H30" s="41"/>
      <c r="I30" s="41"/>
    </row>
    <row r="31" spans="1:9" x14ac:dyDescent="0.3">
      <c r="I31" s="4" t="s">
        <v>68</v>
      </c>
    </row>
    <row r="32" spans="1:9" ht="15.6" x14ac:dyDescent="0.3">
      <c r="B32" s="42" t="s">
        <v>69</v>
      </c>
      <c r="C32" s="42"/>
      <c r="D32" s="6" t="s">
        <v>70</v>
      </c>
      <c r="E32" s="16">
        <v>1.35</v>
      </c>
    </row>
    <row r="33" spans="1:9" ht="15.6" x14ac:dyDescent="0.3">
      <c r="B33" s="42" t="s">
        <v>71</v>
      </c>
      <c r="C33" s="42"/>
      <c r="D33" s="6" t="s">
        <v>72</v>
      </c>
      <c r="E33" s="16">
        <v>1.5</v>
      </c>
    </row>
    <row r="36" spans="1:9" ht="15.6" x14ac:dyDescent="0.3">
      <c r="A36" s="41" t="s">
        <v>73</v>
      </c>
      <c r="B36" s="41"/>
      <c r="C36" s="41"/>
      <c r="D36" s="41"/>
      <c r="E36" s="41"/>
      <c r="F36" s="41"/>
      <c r="G36" s="41"/>
      <c r="H36" s="41"/>
      <c r="I36" s="41"/>
    </row>
    <row r="37" spans="1:9" x14ac:dyDescent="0.3">
      <c r="B37" s="5" t="s">
        <v>74</v>
      </c>
      <c r="C37" s="5" t="s">
        <v>75</v>
      </c>
      <c r="D37" s="5" t="s">
        <v>76</v>
      </c>
      <c r="E37" s="5" t="s">
        <v>77</v>
      </c>
      <c r="F37" s="5" t="s">
        <v>78</v>
      </c>
      <c r="G37" s="5" t="s">
        <v>79</v>
      </c>
    </row>
    <row r="38" spans="1:9" x14ac:dyDescent="0.3">
      <c r="B38" s="17">
        <v>12</v>
      </c>
      <c r="C38" s="17">
        <v>15</v>
      </c>
      <c r="D38" s="17">
        <f t="shared" ref="D38:D46" si="1">B38+8</f>
        <v>20</v>
      </c>
      <c r="E38" s="18">
        <f t="shared" ref="E38:E46" si="2">0.3*B38^(2/3)</f>
        <v>1.5724448365253381</v>
      </c>
      <c r="F38" s="18">
        <f t="shared" ref="F38:F46" si="3">0.7*E38</f>
        <v>1.1007113855677366</v>
      </c>
      <c r="G38" s="19">
        <f t="shared" ref="G38:G46" si="4">22*(D38/10)^0.3</f>
        <v>27.085177093588158</v>
      </c>
      <c r="I38" s="4" t="s">
        <v>80</v>
      </c>
    </row>
    <row r="39" spans="1:9" x14ac:dyDescent="0.3">
      <c r="B39" s="17">
        <v>16</v>
      </c>
      <c r="C39" s="17">
        <v>20</v>
      </c>
      <c r="D39" s="17">
        <f t="shared" si="1"/>
        <v>24</v>
      </c>
      <c r="E39" s="18">
        <f t="shared" si="2"/>
        <v>1.9048812623618392</v>
      </c>
      <c r="F39" s="18">
        <f t="shared" si="3"/>
        <v>1.3334168836532874</v>
      </c>
      <c r="G39" s="19">
        <f t="shared" si="4"/>
        <v>28.607904894961401</v>
      </c>
      <c r="I39" s="4" t="s">
        <v>81</v>
      </c>
    </row>
    <row r="40" spans="1:9" x14ac:dyDescent="0.3">
      <c r="B40" s="17">
        <v>20</v>
      </c>
      <c r="C40" s="17">
        <v>25</v>
      </c>
      <c r="D40" s="17">
        <f t="shared" si="1"/>
        <v>28</v>
      </c>
      <c r="E40" s="18">
        <f t="shared" si="2"/>
        <v>2.2104188991842313</v>
      </c>
      <c r="F40" s="18">
        <f t="shared" si="3"/>
        <v>1.5472932294289619</v>
      </c>
      <c r="G40" s="19">
        <f t="shared" si="4"/>
        <v>29.961951054640309</v>
      </c>
    </row>
    <row r="41" spans="1:9" x14ac:dyDescent="0.3">
      <c r="B41" s="17">
        <v>25</v>
      </c>
      <c r="C41" s="17">
        <v>30</v>
      </c>
      <c r="D41" s="17">
        <f t="shared" si="1"/>
        <v>33</v>
      </c>
      <c r="E41" s="18">
        <f t="shared" si="2"/>
        <v>2.5649639200150443</v>
      </c>
      <c r="F41" s="18">
        <f t="shared" si="3"/>
        <v>1.7954747440105308</v>
      </c>
      <c r="G41" s="19">
        <f t="shared" si="4"/>
        <v>31.475806210019346</v>
      </c>
    </row>
    <row r="42" spans="1:9" x14ac:dyDescent="0.3">
      <c r="B42" s="17">
        <v>30</v>
      </c>
      <c r="C42" s="17">
        <v>37</v>
      </c>
      <c r="D42" s="17">
        <f t="shared" si="1"/>
        <v>38</v>
      </c>
      <c r="E42" s="18">
        <f t="shared" si="2"/>
        <v>2.896468153816889</v>
      </c>
      <c r="F42" s="18">
        <f t="shared" si="3"/>
        <v>2.0275277076718221</v>
      </c>
      <c r="G42" s="19">
        <f t="shared" si="4"/>
        <v>32.836568031330792</v>
      </c>
    </row>
    <row r="43" spans="1:9" x14ac:dyDescent="0.3">
      <c r="B43" s="17">
        <v>35</v>
      </c>
      <c r="C43" s="17">
        <v>45</v>
      </c>
      <c r="D43" s="17">
        <f t="shared" si="1"/>
        <v>43</v>
      </c>
      <c r="E43" s="18">
        <f t="shared" si="2"/>
        <v>3.2099624416952368</v>
      </c>
      <c r="F43" s="18">
        <f t="shared" si="3"/>
        <v>2.2469737091866655</v>
      </c>
      <c r="G43" s="19">
        <f t="shared" si="4"/>
        <v>34.077146199189329</v>
      </c>
    </row>
    <row r="44" spans="1:9" x14ac:dyDescent="0.3">
      <c r="B44" s="17">
        <v>40</v>
      </c>
      <c r="C44" s="17">
        <v>50</v>
      </c>
      <c r="D44" s="17">
        <f t="shared" si="1"/>
        <v>48</v>
      </c>
      <c r="E44" s="18">
        <f t="shared" si="2"/>
        <v>3.5088212858554391</v>
      </c>
      <c r="F44" s="18">
        <f t="shared" si="3"/>
        <v>2.4561749000988073</v>
      </c>
      <c r="G44" s="19">
        <f t="shared" si="4"/>
        <v>35.220462288934414</v>
      </c>
    </row>
    <row r="45" spans="1:9" x14ac:dyDescent="0.3">
      <c r="B45" s="17">
        <v>45</v>
      </c>
      <c r="C45" s="17">
        <v>55</v>
      </c>
      <c r="D45" s="17">
        <f t="shared" si="1"/>
        <v>53</v>
      </c>
      <c r="E45" s="18">
        <f t="shared" si="2"/>
        <v>3.7954469938578708</v>
      </c>
      <c r="F45" s="18">
        <f t="shared" si="3"/>
        <v>2.6568128957005093</v>
      </c>
      <c r="G45" s="19">
        <f t="shared" si="4"/>
        <v>36.283188218914134</v>
      </c>
    </row>
    <row r="46" spans="1:9" x14ac:dyDescent="0.3">
      <c r="B46" s="17">
        <v>50</v>
      </c>
      <c r="C46" s="17">
        <v>60</v>
      </c>
      <c r="D46" s="17">
        <f t="shared" si="1"/>
        <v>58</v>
      </c>
      <c r="E46" s="18">
        <f t="shared" si="2"/>
        <v>4.0716264248923588</v>
      </c>
      <c r="F46" s="18">
        <f t="shared" si="3"/>
        <v>2.8501384974246511</v>
      </c>
      <c r="G46" s="19">
        <f t="shared" si="4"/>
        <v>37.277869091614654</v>
      </c>
    </row>
    <row r="48" spans="1:9" ht="15.6" x14ac:dyDescent="0.3">
      <c r="A48" s="41" t="s">
        <v>82</v>
      </c>
      <c r="B48" s="41"/>
      <c r="C48" s="41"/>
      <c r="D48" s="41"/>
      <c r="E48" s="41"/>
      <c r="F48" s="41"/>
      <c r="G48" s="41"/>
      <c r="H48" s="41"/>
      <c r="I48" s="41"/>
    </row>
    <row r="49" spans="1:9" x14ac:dyDescent="0.3">
      <c r="B49" s="5" t="s">
        <v>83</v>
      </c>
      <c r="C49" s="5" t="s">
        <v>84</v>
      </c>
    </row>
    <row r="50" spans="1:9" x14ac:dyDescent="0.3">
      <c r="B50" s="20" t="s">
        <v>85</v>
      </c>
      <c r="C50" s="17">
        <v>10</v>
      </c>
      <c r="I50" s="4" t="s">
        <v>86</v>
      </c>
    </row>
    <row r="51" spans="1:9" x14ac:dyDescent="0.3">
      <c r="B51" s="20" t="s">
        <v>87</v>
      </c>
      <c r="C51" s="17">
        <v>15</v>
      </c>
      <c r="I51" s="4" t="s">
        <v>88</v>
      </c>
    </row>
    <row r="52" spans="1:9" x14ac:dyDescent="0.3">
      <c r="B52" s="20" t="s">
        <v>89</v>
      </c>
      <c r="C52" s="17">
        <v>25</v>
      </c>
      <c r="I52" s="4" t="s">
        <v>90</v>
      </c>
    </row>
    <row r="53" spans="1:9" x14ac:dyDescent="0.3">
      <c r="B53" s="20" t="s">
        <v>91</v>
      </c>
      <c r="C53" s="17">
        <v>30</v>
      </c>
    </row>
    <row r="54" spans="1:9" x14ac:dyDescent="0.3">
      <c r="B54" s="20" t="s">
        <v>92</v>
      </c>
      <c r="C54" s="17">
        <v>35</v>
      </c>
    </row>
    <row r="55" spans="1:9" x14ac:dyDescent="0.3">
      <c r="B55" s="20" t="s">
        <v>93</v>
      </c>
      <c r="C55" s="17">
        <v>40</v>
      </c>
    </row>
    <row r="56" spans="1:9" x14ac:dyDescent="0.3">
      <c r="B56" s="20" t="s">
        <v>94</v>
      </c>
      <c r="C56" s="17">
        <v>45</v>
      </c>
    </row>
    <row r="58" spans="1:9" ht="15.6" x14ac:dyDescent="0.3">
      <c r="A58" s="41" t="s">
        <v>95</v>
      </c>
      <c r="B58" s="41"/>
      <c r="C58" s="41"/>
      <c r="D58" s="41"/>
      <c r="E58" s="41"/>
      <c r="F58" s="41"/>
      <c r="G58" s="41"/>
      <c r="H58" s="41"/>
      <c r="I58" s="41"/>
    </row>
    <row r="59" spans="1:9" x14ac:dyDescent="0.3">
      <c r="B59" s="5" t="s">
        <v>96</v>
      </c>
      <c r="C59" s="5" t="s">
        <v>97</v>
      </c>
    </row>
    <row r="60" spans="1:9" x14ac:dyDescent="0.3">
      <c r="B60" s="20" t="s">
        <v>98</v>
      </c>
      <c r="C60" s="19">
        <v>1</v>
      </c>
    </row>
    <row r="61" spans="1:9" x14ac:dyDescent="0.3">
      <c r="B61" s="20" t="s">
        <v>99</v>
      </c>
      <c r="C61" s="19">
        <v>1.3</v>
      </c>
    </row>
    <row r="62" spans="1:9" x14ac:dyDescent="0.3">
      <c r="B62" s="20" t="s">
        <v>100</v>
      </c>
      <c r="C62" s="19">
        <v>1.5</v>
      </c>
    </row>
    <row r="63" spans="1:9" x14ac:dyDescent="0.3">
      <c r="B63" s="20" t="s">
        <v>101</v>
      </c>
      <c r="C63" s="19">
        <v>1.2</v>
      </c>
    </row>
    <row r="64" spans="1:9" x14ac:dyDescent="0.3">
      <c r="B64" s="20" t="s">
        <v>102</v>
      </c>
      <c r="C64" s="19">
        <v>0.4</v>
      </c>
    </row>
    <row r="66" spans="1:9" ht="15.6" x14ac:dyDescent="0.3">
      <c r="A66" s="41" t="s">
        <v>103</v>
      </c>
      <c r="B66" s="41"/>
      <c r="C66" s="41"/>
      <c r="D66" s="41"/>
      <c r="E66" s="41"/>
      <c r="F66" s="41"/>
      <c r="G66" s="41"/>
      <c r="H66" s="41"/>
      <c r="I66" s="41"/>
    </row>
    <row r="67" spans="1:9" x14ac:dyDescent="0.3">
      <c r="B67" s="5" t="s">
        <v>104</v>
      </c>
      <c r="C67" s="5" t="s">
        <v>105</v>
      </c>
    </row>
    <row r="68" spans="1:9" x14ac:dyDescent="0.3">
      <c r="B68" s="17">
        <v>160</v>
      </c>
      <c r="C68" s="17">
        <v>300</v>
      </c>
      <c r="I68" s="4" t="s">
        <v>106</v>
      </c>
    </row>
    <row r="69" spans="1:9" x14ac:dyDescent="0.3">
      <c r="B69" s="17">
        <v>200</v>
      </c>
      <c r="C69" s="17">
        <v>250</v>
      </c>
      <c r="I69" s="4" t="s">
        <v>107</v>
      </c>
    </row>
    <row r="70" spans="1:9" x14ac:dyDescent="0.3">
      <c r="B70" s="17">
        <v>240</v>
      </c>
      <c r="C70" s="17">
        <v>200</v>
      </c>
    </row>
    <row r="71" spans="1:9" x14ac:dyDescent="0.3">
      <c r="B71" s="17">
        <v>280</v>
      </c>
      <c r="C71" s="17">
        <v>150</v>
      </c>
    </row>
    <row r="72" spans="1:9" x14ac:dyDescent="0.3">
      <c r="B72" s="17">
        <v>320</v>
      </c>
      <c r="C72" s="17">
        <v>100</v>
      </c>
    </row>
    <row r="73" spans="1:9" x14ac:dyDescent="0.3">
      <c r="B73" s="17">
        <v>360</v>
      </c>
      <c r="C73" s="17">
        <v>50</v>
      </c>
    </row>
    <row r="75" spans="1:9" ht="15.6" x14ac:dyDescent="0.3">
      <c r="A75" s="41" t="s">
        <v>108</v>
      </c>
      <c r="B75" s="41"/>
      <c r="C75" s="41"/>
      <c r="D75" s="41"/>
      <c r="E75" s="41"/>
      <c r="F75" s="41"/>
      <c r="G75" s="41"/>
      <c r="H75" s="41"/>
      <c r="I75" s="41"/>
    </row>
    <row r="76" spans="1:9" ht="15.6" x14ac:dyDescent="0.3">
      <c r="B76" s="42" t="s">
        <v>109</v>
      </c>
      <c r="C76" s="42"/>
      <c r="D76" s="42"/>
      <c r="E76" s="42"/>
      <c r="F76" s="42"/>
      <c r="G76" s="42"/>
      <c r="H76" s="42"/>
      <c r="I76" s="42"/>
    </row>
    <row r="77" spans="1:9" ht="15.6" x14ac:dyDescent="0.3">
      <c r="B77" s="42" t="s">
        <v>110</v>
      </c>
      <c r="C77" s="42"/>
      <c r="D77" s="42"/>
      <c r="E77" s="42"/>
      <c r="F77" s="42"/>
      <c r="G77" s="42"/>
      <c r="H77" s="42"/>
      <c r="I77" s="42"/>
    </row>
    <row r="78" spans="1:9" ht="15.6" x14ac:dyDescent="0.3">
      <c r="B78" s="42" t="s">
        <v>111</v>
      </c>
      <c r="C78" s="42"/>
      <c r="D78" s="42"/>
      <c r="E78" s="42"/>
      <c r="F78" s="42"/>
      <c r="G78" s="42"/>
      <c r="H78" s="42"/>
      <c r="I78" s="42"/>
    </row>
    <row r="79" spans="1:9" ht="15.6" x14ac:dyDescent="0.3">
      <c r="B79" s="42" t="s">
        <v>112</v>
      </c>
      <c r="C79" s="42"/>
      <c r="D79" s="42"/>
      <c r="E79" s="42"/>
      <c r="F79" s="42"/>
      <c r="G79" s="42"/>
      <c r="H79" s="42"/>
      <c r="I79" s="42"/>
    </row>
  </sheetData>
  <mergeCells count="36">
    <mergeCell ref="B16:C16"/>
    <mergeCell ref="A1:I1"/>
    <mergeCell ref="A2:I2"/>
    <mergeCell ref="A4:I4"/>
    <mergeCell ref="B5:C5"/>
    <mergeCell ref="A8:I8"/>
    <mergeCell ref="B10:C10"/>
    <mergeCell ref="B11:C11"/>
    <mergeCell ref="B12:C12"/>
    <mergeCell ref="B13:C13"/>
    <mergeCell ref="B14:C14"/>
    <mergeCell ref="B15:C15"/>
    <mergeCell ref="B28:C28"/>
    <mergeCell ref="B17:C17"/>
    <mergeCell ref="B18:C18"/>
    <mergeCell ref="B19:C19"/>
    <mergeCell ref="B20:C20"/>
    <mergeCell ref="B21:C21"/>
    <mergeCell ref="B22:C22"/>
    <mergeCell ref="B23:C23"/>
    <mergeCell ref="B24:C24"/>
    <mergeCell ref="B25:C25"/>
    <mergeCell ref="B26:C26"/>
    <mergeCell ref="B27:C27"/>
    <mergeCell ref="B79:I79"/>
    <mergeCell ref="A30:I30"/>
    <mergeCell ref="B32:C32"/>
    <mergeCell ref="B33:C33"/>
    <mergeCell ref="A36:I36"/>
    <mergeCell ref="A48:I48"/>
    <mergeCell ref="A58:I58"/>
    <mergeCell ref="A66:I66"/>
    <mergeCell ref="A75:I75"/>
    <mergeCell ref="B76:I76"/>
    <mergeCell ref="B77:I77"/>
    <mergeCell ref="B78:I78"/>
  </mergeCells>
  <dataValidations count="1">
    <dataValidation type="list" sqref="E5" xr:uid="{84AF003E-F7E9-4B35-B83E-3B946D630776}">
      <formula1>"UK NA,EN Recommended"</formula1>
      <formula2>0</formula2>
    </dataValidation>
  </dataValidations>
  <pageMargins left="0.75" right="0.75" top="1" bottom="1"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6A3D6-9EF6-408C-86A3-1CD35E23AF3C}">
  <sheetPr>
    <pageSetUpPr fitToPage="1"/>
  </sheetPr>
  <dimension ref="A1:I131"/>
  <sheetViews>
    <sheetView showGridLines="0" zoomScaleNormal="100" workbookViewId="0">
      <pane ySplit="3" topLeftCell="A4" activePane="bottomLeft" state="frozen"/>
      <selection pane="bottomLeft" activeCell="B120" sqref="B120:G120"/>
    </sheetView>
  </sheetViews>
  <sheetFormatPr defaultColWidth="8.6640625" defaultRowHeight="14.4" x14ac:dyDescent="0.3"/>
  <cols>
    <col min="1" max="1" width="5.5546875" customWidth="1"/>
    <col min="2" max="2" width="30" customWidth="1"/>
    <col min="3" max="4" width="13" customWidth="1"/>
    <col min="5" max="5" width="14" customWidth="1"/>
    <col min="6" max="6" width="11" customWidth="1"/>
    <col min="7" max="7" width="30" customWidth="1"/>
    <col min="8" max="8" width="2.44140625" customWidth="1"/>
    <col min="9" max="9" width="52" customWidth="1"/>
    <col min="10" max="13" width="12" customWidth="1"/>
  </cols>
  <sheetData>
    <row r="1" spans="1:9" ht="21" x14ac:dyDescent="0.3">
      <c r="A1" s="43" t="s">
        <v>113</v>
      </c>
      <c r="B1" s="43"/>
      <c r="C1" s="43"/>
      <c r="D1" s="43"/>
      <c r="E1" s="43"/>
      <c r="F1" s="43"/>
      <c r="G1" s="43"/>
      <c r="H1" s="43"/>
      <c r="I1" s="43"/>
    </row>
    <row r="2" spans="1:9" ht="15.6" x14ac:dyDescent="0.3">
      <c r="A2" s="44" t="s">
        <v>114</v>
      </c>
      <c r="B2" s="44"/>
      <c r="C2" s="44"/>
      <c r="D2" s="44"/>
      <c r="E2" s="44"/>
      <c r="F2" s="44"/>
      <c r="G2" s="44"/>
      <c r="H2" s="44"/>
      <c r="I2" s="44"/>
    </row>
    <row r="4" spans="1:9" ht="15.6" x14ac:dyDescent="0.3">
      <c r="A4" s="41" t="s">
        <v>115</v>
      </c>
      <c r="B4" s="41"/>
      <c r="C4" s="41"/>
      <c r="D4" s="41"/>
      <c r="E4" s="41"/>
      <c r="F4" s="41"/>
      <c r="G4" s="41"/>
      <c r="H4" s="41"/>
      <c r="I4" s="41"/>
    </row>
    <row r="5" spans="1:9" ht="15.6" x14ac:dyDescent="0.3">
      <c r="B5" s="42" t="s">
        <v>116</v>
      </c>
      <c r="C5" s="42"/>
      <c r="D5" s="21" t="s">
        <v>117</v>
      </c>
      <c r="E5" s="22">
        <v>400</v>
      </c>
      <c r="F5" s="2" t="s">
        <v>59</v>
      </c>
    </row>
    <row r="6" spans="1:9" ht="15.6" x14ac:dyDescent="0.3">
      <c r="B6" s="42" t="s">
        <v>118</v>
      </c>
      <c r="C6" s="42"/>
      <c r="D6" s="21" t="s">
        <v>119</v>
      </c>
      <c r="E6" s="22">
        <v>600</v>
      </c>
      <c r="F6" s="2" t="s">
        <v>59</v>
      </c>
    </row>
    <row r="7" spans="1:9" ht="15.6" x14ac:dyDescent="0.3">
      <c r="B7" s="42" t="s">
        <v>120</v>
      </c>
      <c r="C7" s="42"/>
      <c r="D7" s="21" t="s">
        <v>121</v>
      </c>
      <c r="E7" s="23">
        <v>7</v>
      </c>
      <c r="F7" s="2" t="s">
        <v>122</v>
      </c>
    </row>
    <row r="8" spans="1:9" ht="15.6" x14ac:dyDescent="0.3">
      <c r="B8" s="42" t="s">
        <v>123</v>
      </c>
      <c r="C8" s="42"/>
      <c r="D8" s="21" t="s">
        <v>124</v>
      </c>
      <c r="E8" s="22">
        <v>300</v>
      </c>
      <c r="F8" s="2" t="s">
        <v>59</v>
      </c>
    </row>
    <row r="9" spans="1:9" ht="15.6" x14ac:dyDescent="0.3">
      <c r="B9" s="42" t="s">
        <v>125</v>
      </c>
      <c r="C9" s="42"/>
      <c r="D9" s="21" t="s">
        <v>74</v>
      </c>
      <c r="E9" s="22">
        <v>30</v>
      </c>
      <c r="F9" s="2" t="s">
        <v>45</v>
      </c>
      <c r="I9" s="4" t="s">
        <v>126</v>
      </c>
    </row>
    <row r="10" spans="1:9" ht="15.6" x14ac:dyDescent="0.3">
      <c r="B10" s="42" t="s">
        <v>127</v>
      </c>
      <c r="C10" s="42"/>
      <c r="D10" s="21" t="s">
        <v>128</v>
      </c>
      <c r="E10" s="22">
        <v>500</v>
      </c>
      <c r="F10" s="2" t="s">
        <v>45</v>
      </c>
      <c r="I10" s="4" t="s">
        <v>129</v>
      </c>
    </row>
    <row r="11" spans="1:9" ht="15.6" x14ac:dyDescent="0.3">
      <c r="B11" s="42" t="s">
        <v>83</v>
      </c>
      <c r="C11" s="42"/>
      <c r="D11" s="21" t="s">
        <v>62</v>
      </c>
      <c r="E11" s="24" t="s">
        <v>87</v>
      </c>
      <c r="F11" s="2"/>
      <c r="I11" s="4" t="s">
        <v>130</v>
      </c>
    </row>
    <row r="12" spans="1:9" ht="15.6" x14ac:dyDescent="0.3">
      <c r="B12" s="42" t="s">
        <v>131</v>
      </c>
      <c r="C12" s="42"/>
      <c r="D12" s="21" t="s">
        <v>132</v>
      </c>
      <c r="E12" s="22">
        <v>25</v>
      </c>
      <c r="F12" s="2" t="s">
        <v>59</v>
      </c>
    </row>
    <row r="13" spans="1:9" ht="15.6" x14ac:dyDescent="0.3">
      <c r="B13" s="42" t="s">
        <v>133</v>
      </c>
      <c r="C13" s="42"/>
      <c r="D13" s="21" t="s">
        <v>134</v>
      </c>
      <c r="E13" s="22">
        <v>3</v>
      </c>
      <c r="F13" s="2" t="s">
        <v>135</v>
      </c>
    </row>
    <row r="14" spans="1:9" ht="15.6" x14ac:dyDescent="0.3">
      <c r="B14" s="42" t="s">
        <v>136</v>
      </c>
      <c r="C14" s="42"/>
      <c r="D14" s="21" t="s">
        <v>137</v>
      </c>
      <c r="E14" s="22">
        <v>10</v>
      </c>
      <c r="F14" s="2" t="s">
        <v>59</v>
      </c>
    </row>
    <row r="15" spans="1:9" ht="15.6" x14ac:dyDescent="0.3">
      <c r="B15" s="42" t="s">
        <v>138</v>
      </c>
      <c r="C15" s="42"/>
      <c r="D15" s="21" t="s">
        <v>62</v>
      </c>
      <c r="E15" s="22">
        <v>2</v>
      </c>
      <c r="F15" s="2" t="s">
        <v>139</v>
      </c>
    </row>
    <row r="16" spans="1:9" ht="15.6" x14ac:dyDescent="0.3">
      <c r="B16" s="42" t="s">
        <v>140</v>
      </c>
      <c r="C16" s="42"/>
      <c r="D16" s="21" t="s">
        <v>141</v>
      </c>
      <c r="E16" s="22">
        <v>500</v>
      </c>
      <c r="F16" s="2" t="s">
        <v>45</v>
      </c>
    </row>
    <row r="17" spans="1:9" ht="15.6" x14ac:dyDescent="0.3">
      <c r="B17" s="42" t="s">
        <v>142</v>
      </c>
      <c r="C17" s="42"/>
      <c r="D17" s="21" t="s">
        <v>143</v>
      </c>
      <c r="E17" s="22">
        <v>20</v>
      </c>
      <c r="F17" s="2" t="s">
        <v>59</v>
      </c>
    </row>
    <row r="19" spans="1:9" ht="15.6" x14ac:dyDescent="0.3">
      <c r="A19" s="41" t="s">
        <v>144</v>
      </c>
      <c r="B19" s="41"/>
      <c r="C19" s="41"/>
      <c r="D19" s="41"/>
      <c r="E19" s="41"/>
      <c r="F19" s="41"/>
      <c r="G19" s="41"/>
      <c r="H19" s="41"/>
      <c r="I19" s="41"/>
    </row>
    <row r="20" spans="1:9" ht="15.6" x14ac:dyDescent="0.3">
      <c r="B20" s="42" t="s">
        <v>145</v>
      </c>
      <c r="C20" s="42"/>
      <c r="D20" s="21" t="s">
        <v>146</v>
      </c>
      <c r="E20" s="25">
        <f>VLOOKUP(E11,Parameters!$B$50:$C$56,2,FALSE())</f>
        <v>15</v>
      </c>
      <c r="F20" s="2" t="s">
        <v>59</v>
      </c>
      <c r="I20" s="4" t="s">
        <v>147</v>
      </c>
    </row>
    <row r="21" spans="1:9" ht="15.6" x14ac:dyDescent="0.3">
      <c r="B21" s="42" t="s">
        <v>148</v>
      </c>
      <c r="C21" s="42"/>
      <c r="D21" s="21" t="s">
        <v>149</v>
      </c>
      <c r="E21" s="25">
        <f>E12</f>
        <v>25</v>
      </c>
      <c r="F21" s="2" t="s">
        <v>59</v>
      </c>
      <c r="I21" s="4" t="s">
        <v>150</v>
      </c>
    </row>
    <row r="22" spans="1:9" ht="15.6" x14ac:dyDescent="0.3">
      <c r="B22" s="42" t="s">
        <v>151</v>
      </c>
      <c r="C22" s="42"/>
      <c r="D22" s="21" t="s">
        <v>152</v>
      </c>
      <c r="E22" s="25">
        <f>MAX(E20,E21,10)</f>
        <v>25</v>
      </c>
      <c r="F22" s="2" t="s">
        <v>59</v>
      </c>
      <c r="I22" s="4" t="s">
        <v>153</v>
      </c>
    </row>
    <row r="23" spans="1:9" ht="15.6" x14ac:dyDescent="0.3">
      <c r="B23" s="42" t="s">
        <v>154</v>
      </c>
      <c r="C23" s="42"/>
      <c r="D23" s="21" t="s">
        <v>155</v>
      </c>
      <c r="E23" s="25">
        <f>E22+Parameters!$E$26</f>
        <v>35</v>
      </c>
      <c r="F23" s="2" t="s">
        <v>59</v>
      </c>
      <c r="I23" s="4" t="s">
        <v>156</v>
      </c>
    </row>
    <row r="24" spans="1:9" ht="15.6" x14ac:dyDescent="0.3">
      <c r="B24" s="42" t="s">
        <v>157</v>
      </c>
      <c r="C24" s="42"/>
      <c r="D24" s="21" t="s">
        <v>158</v>
      </c>
      <c r="E24" s="26">
        <f>E6-E23-E14-E12/2</f>
        <v>542.5</v>
      </c>
      <c r="F24" s="2" t="s">
        <v>59</v>
      </c>
      <c r="I24" s="4" t="s">
        <v>159</v>
      </c>
    </row>
    <row r="25" spans="1:9" ht="15.6" x14ac:dyDescent="0.3">
      <c r="B25" s="42" t="s">
        <v>160</v>
      </c>
      <c r="C25" s="42"/>
      <c r="D25" s="21" t="s">
        <v>161</v>
      </c>
      <c r="E25" s="26">
        <f>MIN(E6/2,E8/2)</f>
        <v>150</v>
      </c>
      <c r="F25" s="2" t="s">
        <v>59</v>
      </c>
      <c r="I25" s="4" t="s">
        <v>162</v>
      </c>
    </row>
    <row r="26" spans="1:9" ht="15.6" x14ac:dyDescent="0.3">
      <c r="B26" s="42" t="s">
        <v>163</v>
      </c>
      <c r="C26" s="42"/>
      <c r="D26" s="21" t="s">
        <v>164</v>
      </c>
      <c r="E26" s="27">
        <f>E7+2*E25/1000</f>
        <v>7.3</v>
      </c>
      <c r="F26" s="2" t="s">
        <v>122</v>
      </c>
      <c r="I26" s="4" t="s">
        <v>165</v>
      </c>
    </row>
    <row r="28" spans="1:9" ht="15.6" x14ac:dyDescent="0.3">
      <c r="A28" s="41" t="s">
        <v>166</v>
      </c>
      <c r="B28" s="41"/>
      <c r="C28" s="41"/>
      <c r="D28" s="41"/>
      <c r="E28" s="41"/>
      <c r="F28" s="41"/>
      <c r="G28" s="41"/>
      <c r="H28" s="41"/>
      <c r="I28" s="41"/>
    </row>
    <row r="29" spans="1:9" ht="15.6" x14ac:dyDescent="0.3">
      <c r="B29" s="42" t="s">
        <v>167</v>
      </c>
      <c r="C29" s="42"/>
      <c r="D29" s="21" t="s">
        <v>168</v>
      </c>
      <c r="E29" s="28">
        <f>Parameters!$E$12*E9/Parameters!$E$10</f>
        <v>17</v>
      </c>
      <c r="F29" s="2" t="s">
        <v>45</v>
      </c>
      <c r="I29" s="4" t="s">
        <v>169</v>
      </c>
    </row>
    <row r="30" spans="1:9" ht="15.6" x14ac:dyDescent="0.3">
      <c r="B30" s="42" t="s">
        <v>170</v>
      </c>
      <c r="C30" s="42"/>
      <c r="D30" s="21" t="s">
        <v>171</v>
      </c>
      <c r="E30" s="26">
        <f>E10/Parameters!$E$11</f>
        <v>434.78260869565219</v>
      </c>
      <c r="F30" s="2" t="s">
        <v>45</v>
      </c>
      <c r="I30" s="4" t="s">
        <v>172</v>
      </c>
    </row>
    <row r="31" spans="1:9" ht="15.6" x14ac:dyDescent="0.3">
      <c r="B31" s="42" t="s">
        <v>173</v>
      </c>
      <c r="C31" s="42"/>
      <c r="D31" s="21" t="s">
        <v>174</v>
      </c>
      <c r="E31" s="26">
        <f>E16/Parameters!$E$11</f>
        <v>434.78260869565219</v>
      </c>
      <c r="F31" s="2" t="s">
        <v>45</v>
      </c>
    </row>
    <row r="32" spans="1:9" ht="15.6" x14ac:dyDescent="0.3">
      <c r="B32" s="42" t="s">
        <v>175</v>
      </c>
      <c r="C32" s="42"/>
      <c r="D32" s="21" t="s">
        <v>77</v>
      </c>
      <c r="E32" s="28">
        <f>VLOOKUP(E9,Parameters!$B$38:$G$46,4,FALSE())</f>
        <v>2.896468153816889</v>
      </c>
      <c r="F32" s="2" t="s">
        <v>45</v>
      </c>
      <c r="I32" s="4" t="s">
        <v>176</v>
      </c>
    </row>
    <row r="33" spans="1:9" ht="15.6" x14ac:dyDescent="0.3">
      <c r="B33" s="42" t="s">
        <v>177</v>
      </c>
      <c r="C33" s="42"/>
      <c r="D33" s="21" t="s">
        <v>78</v>
      </c>
      <c r="E33" s="28">
        <f>VLOOKUP(E9,Parameters!$B$38:$G$46,5,FALSE())</f>
        <v>2.0275277076718221</v>
      </c>
      <c r="F33" s="2" t="s">
        <v>45</v>
      </c>
    </row>
    <row r="34" spans="1:9" ht="15.6" x14ac:dyDescent="0.3">
      <c r="B34" s="42" t="s">
        <v>178</v>
      </c>
      <c r="C34" s="42"/>
      <c r="D34" s="21" t="s">
        <v>179</v>
      </c>
      <c r="E34" s="28">
        <f>Parameters!$E$13*E33/Parameters!$E$10</f>
        <v>1.3516851384478814</v>
      </c>
      <c r="F34" s="2" t="s">
        <v>45</v>
      </c>
      <c r="I34" s="4" t="s">
        <v>180</v>
      </c>
    </row>
    <row r="36" spans="1:9" ht="15.6" x14ac:dyDescent="0.3">
      <c r="A36" s="41" t="s">
        <v>181</v>
      </c>
      <c r="B36" s="41"/>
      <c r="C36" s="41"/>
      <c r="D36" s="41"/>
      <c r="E36" s="41"/>
      <c r="F36" s="41"/>
      <c r="G36" s="41"/>
      <c r="H36" s="41"/>
      <c r="I36" s="41"/>
    </row>
    <row r="37" spans="1:9" ht="15.6" x14ac:dyDescent="0.3">
      <c r="B37" s="42" t="s">
        <v>182</v>
      </c>
      <c r="C37" s="42"/>
      <c r="D37" s="21" t="s">
        <v>183</v>
      </c>
      <c r="E37" s="29">
        <v>10</v>
      </c>
      <c r="F37" s="2" t="s">
        <v>184</v>
      </c>
    </row>
    <row r="38" spans="1:9" ht="15.6" x14ac:dyDescent="0.3">
      <c r="B38" s="42" t="s">
        <v>185</v>
      </c>
      <c r="C38" s="42"/>
      <c r="D38" s="21" t="s">
        <v>186</v>
      </c>
      <c r="E38" s="29">
        <v>12</v>
      </c>
      <c r="F38" s="2" t="s">
        <v>184</v>
      </c>
    </row>
    <row r="39" spans="1:9" ht="15.6" x14ac:dyDescent="0.3">
      <c r="B39" s="42" t="s">
        <v>187</v>
      </c>
      <c r="C39" s="42"/>
      <c r="D39" s="21" t="s">
        <v>188</v>
      </c>
      <c r="E39" s="29">
        <v>0.3</v>
      </c>
      <c r="F39" s="2"/>
      <c r="I39" s="4" t="s">
        <v>189</v>
      </c>
    </row>
    <row r="40" spans="1:9" ht="15.6" x14ac:dyDescent="0.3">
      <c r="B40" s="42" t="s">
        <v>190</v>
      </c>
      <c r="C40" s="42"/>
      <c r="D40" s="21" t="s">
        <v>191</v>
      </c>
      <c r="E40" s="28">
        <f>25*E5*E6/10^6</f>
        <v>6</v>
      </c>
      <c r="F40" s="2" t="s">
        <v>184</v>
      </c>
      <c r="I40" s="4" t="s">
        <v>192</v>
      </c>
    </row>
    <row r="41" spans="1:9" ht="15.6" x14ac:dyDescent="0.3">
      <c r="B41" s="42" t="s">
        <v>193</v>
      </c>
      <c r="C41" s="42"/>
      <c r="D41" s="21" t="s">
        <v>194</v>
      </c>
      <c r="E41" s="28">
        <f>E37+E40</f>
        <v>16</v>
      </c>
      <c r="F41" s="2" t="s">
        <v>184</v>
      </c>
    </row>
    <row r="42" spans="1:9" ht="15.6" x14ac:dyDescent="0.3">
      <c r="B42" s="42" t="s">
        <v>195</v>
      </c>
      <c r="C42" s="42"/>
      <c r="D42" s="21" t="s">
        <v>196</v>
      </c>
      <c r="E42" s="28">
        <f>Parameters!$E$32*E41+Parameters!$E$33*E38</f>
        <v>39.6</v>
      </c>
      <c r="F42" s="2" t="s">
        <v>184</v>
      </c>
      <c r="I42" s="4" t="s">
        <v>197</v>
      </c>
    </row>
    <row r="43" spans="1:9" ht="15.6" x14ac:dyDescent="0.3">
      <c r="B43" s="42" t="s">
        <v>198</v>
      </c>
      <c r="C43" s="42"/>
      <c r="D43" s="21" t="s">
        <v>199</v>
      </c>
      <c r="E43" s="29">
        <v>1</v>
      </c>
      <c r="F43" s="2"/>
      <c r="I43" s="4" t="s">
        <v>200</v>
      </c>
    </row>
    <row r="44" spans="1:9" ht="15.6" x14ac:dyDescent="0.3">
      <c r="B44" s="42" t="s">
        <v>201</v>
      </c>
      <c r="C44" s="42"/>
      <c r="D44" s="21" t="s">
        <v>202</v>
      </c>
      <c r="E44" s="26">
        <f>E42*E26^2/8</f>
        <v>263.78550000000001</v>
      </c>
      <c r="F44" s="2" t="s">
        <v>203</v>
      </c>
      <c r="I44" s="4" t="s">
        <v>204</v>
      </c>
    </row>
    <row r="45" spans="1:9" ht="15.6" x14ac:dyDescent="0.3">
      <c r="B45" s="42" t="s">
        <v>205</v>
      </c>
      <c r="C45" s="42"/>
      <c r="D45" s="21" t="s">
        <v>206</v>
      </c>
      <c r="E45" s="26">
        <f>E42*E26/2</f>
        <v>144.54</v>
      </c>
      <c r="F45" s="2" t="s">
        <v>207</v>
      </c>
    </row>
    <row r="46" spans="1:9" ht="15.6" x14ac:dyDescent="0.3">
      <c r="B46" s="42" t="s">
        <v>208</v>
      </c>
      <c r="C46" s="42"/>
      <c r="D46" s="21" t="s">
        <v>209</v>
      </c>
      <c r="E46" s="26">
        <f>E42*(E26/2-E8/2000-E24/1000)</f>
        <v>117.117</v>
      </c>
      <c r="F46" s="2" t="s">
        <v>207</v>
      </c>
      <c r="I46" s="4" t="s">
        <v>210</v>
      </c>
    </row>
    <row r="48" spans="1:9" ht="15.6" x14ac:dyDescent="0.3">
      <c r="A48" s="41" t="s">
        <v>211</v>
      </c>
      <c r="B48" s="41"/>
      <c r="C48" s="41"/>
      <c r="D48" s="41"/>
      <c r="E48" s="41"/>
      <c r="F48" s="41"/>
      <c r="G48" s="41"/>
      <c r="H48" s="41"/>
      <c r="I48" s="41"/>
    </row>
    <row r="49" spans="1:9" ht="15.6" x14ac:dyDescent="0.3">
      <c r="B49" s="42" t="s">
        <v>212</v>
      </c>
      <c r="C49" s="42"/>
      <c r="D49" s="21" t="s">
        <v>97</v>
      </c>
      <c r="E49" s="30">
        <f>E44*10^6/(E5*E24^2*E9)</f>
        <v>7.4691329185160013E-2</v>
      </c>
      <c r="F49" s="2"/>
      <c r="I49" s="4" t="s">
        <v>213</v>
      </c>
    </row>
    <row r="50" spans="1:9" ht="15.6" x14ac:dyDescent="0.3">
      <c r="B50" s="42" t="s">
        <v>214</v>
      </c>
      <c r="C50" s="42"/>
      <c r="D50" s="21" t="s">
        <v>215</v>
      </c>
      <c r="E50" s="27">
        <f>MIN((E43-Parameters!$E$14)/Parameters!$E$15,Parameters!$E$28)</f>
        <v>0.45</v>
      </c>
      <c r="F50" s="2"/>
      <c r="I50" s="4" t="s">
        <v>216</v>
      </c>
    </row>
    <row r="51" spans="1:9" ht="15.6" x14ac:dyDescent="0.3">
      <c r="B51" s="42" t="s">
        <v>217</v>
      </c>
      <c r="C51" s="42"/>
      <c r="D51" s="21" t="s">
        <v>218</v>
      </c>
      <c r="E51" s="30">
        <f>Parameters!$E$24*Parameters!$E$25*(Parameters!$E$12/Parameters!$E$10)*E50*(1-Parameters!$E$24*E50/2)</f>
        <v>0.16728000000000001</v>
      </c>
      <c r="F51" s="2"/>
      <c r="I51" s="4" t="s">
        <v>219</v>
      </c>
    </row>
    <row r="52" spans="1:9" ht="15.6" x14ac:dyDescent="0.3">
      <c r="B52" s="49" t="str">
        <f>IF(E49&lt;=E51,"K ≤ K' — singly reinforced section is adequate.","K &gt; K' — section is over-stressed in compression. Increase d, increase fck, or use the 'EC2 Beam DR' sheet.")</f>
        <v>K ≤ K' — singly reinforced section is adequate.</v>
      </c>
      <c r="C52" s="49"/>
      <c r="D52" s="49"/>
      <c r="E52" s="49"/>
      <c r="F52" s="49"/>
      <c r="G52" s="49"/>
    </row>
    <row r="54" spans="1:9" ht="15.6" x14ac:dyDescent="0.3">
      <c r="B54" s="42" t="s">
        <v>220</v>
      </c>
      <c r="C54" s="42"/>
      <c r="D54" s="21" t="s">
        <v>221</v>
      </c>
      <c r="E54" s="26">
        <f>MIN(E24/2*(1+SQRT(MAX(0,1-2*E49/(Parameters!$E$25*Parameters!$E$12/Parameters!$E$10)))),0.95*E24)</f>
        <v>504.01720098188486</v>
      </c>
      <c r="F54" s="2" t="s">
        <v>59</v>
      </c>
      <c r="I54" s="4" t="s">
        <v>222</v>
      </c>
    </row>
    <row r="55" spans="1:9" ht="15.6" x14ac:dyDescent="0.3">
      <c r="B55" s="42" t="s">
        <v>223</v>
      </c>
      <c r="C55" s="42"/>
      <c r="D55" s="21" t="s">
        <v>224</v>
      </c>
      <c r="E55" s="26">
        <f>2*(E24-E54)/Parameters!$E$24</f>
        <v>96.206997545287862</v>
      </c>
      <c r="F55" s="2" t="s">
        <v>59</v>
      </c>
      <c r="I55" s="4" t="s">
        <v>225</v>
      </c>
    </row>
    <row r="56" spans="1:9" ht="15.6" x14ac:dyDescent="0.3">
      <c r="B56" s="42" t="s">
        <v>226</v>
      </c>
      <c r="C56" s="42"/>
      <c r="D56" s="21" t="s">
        <v>227</v>
      </c>
      <c r="E56" s="25">
        <f>E44*10^6/(E30*E54)</f>
        <v>1203.7419532866418</v>
      </c>
      <c r="F56" s="2" t="s">
        <v>228</v>
      </c>
      <c r="I56" s="4" t="s">
        <v>229</v>
      </c>
    </row>
    <row r="57" spans="1:9" ht="15.6" x14ac:dyDescent="0.3">
      <c r="B57" s="42" t="s">
        <v>230</v>
      </c>
      <c r="C57" s="42"/>
      <c r="D57" s="21" t="s">
        <v>231</v>
      </c>
      <c r="E57" s="25">
        <f>MAX(0.26*E32/E10*E5*E24,0.0013*E5*E24)</f>
        <v>326.83746647669778</v>
      </c>
      <c r="F57" s="2" t="s">
        <v>228</v>
      </c>
      <c r="I57" s="4" t="s">
        <v>232</v>
      </c>
    </row>
    <row r="58" spans="1:9" ht="15.6" x14ac:dyDescent="0.3">
      <c r="B58" s="42" t="s">
        <v>233</v>
      </c>
      <c r="C58" s="42"/>
      <c r="D58" s="21" t="s">
        <v>234</v>
      </c>
      <c r="E58" s="25">
        <f>0.04*E5*E6</f>
        <v>9600</v>
      </c>
      <c r="F58" s="2" t="s">
        <v>228</v>
      </c>
      <c r="I58" s="4" t="s">
        <v>235</v>
      </c>
    </row>
    <row r="59" spans="1:9" ht="15.6" x14ac:dyDescent="0.3">
      <c r="B59" s="42" t="s">
        <v>236</v>
      </c>
      <c r="C59" s="42"/>
      <c r="D59" s="21" t="s">
        <v>237</v>
      </c>
      <c r="E59" s="25">
        <f>E13*PI()*E12^2/4</f>
        <v>1472.6215563702156</v>
      </c>
      <c r="F59" s="2" t="s">
        <v>228</v>
      </c>
      <c r="G59" s="31" t="str">
        <f>IF(AND(E59&gt;=MAX(E56,E57),E59&lt;=E58),"OK — As,min ≤ As,prov ≤ As,max","NOT OK — revise the bar arrangement")</f>
        <v>OK — As,min ≤ As,prov ≤ As,max</v>
      </c>
    </row>
    <row r="60" spans="1:9" ht="15.6" x14ac:dyDescent="0.3">
      <c r="B60" s="42" t="s">
        <v>238</v>
      </c>
      <c r="C60" s="42"/>
      <c r="D60" s="21" t="s">
        <v>239</v>
      </c>
      <c r="E60" s="26">
        <f>IF(E13&gt;1,(E5-2*E23-2*E14-E13*E12)/(E13-1),999)</f>
        <v>117.5</v>
      </c>
      <c r="F60" s="2" t="s">
        <v>59</v>
      </c>
      <c r="G60" s="31" t="str">
        <f>IF(E60&gt;=MAX(E12,E17+5,20),"OK — bars fit in one layer","NOT OK — reduce n, increase b, or use two layers")</f>
        <v>OK — bars fit in one layer</v>
      </c>
    </row>
    <row r="61" spans="1:9" x14ac:dyDescent="0.3">
      <c r="B61" s="4" t="s">
        <v>240</v>
      </c>
    </row>
    <row r="63" spans="1:9" ht="15.6" x14ac:dyDescent="0.3">
      <c r="A63" s="41" t="s">
        <v>241</v>
      </c>
      <c r="B63" s="41"/>
      <c r="C63" s="41"/>
      <c r="D63" s="41"/>
      <c r="E63" s="41"/>
      <c r="F63" s="41"/>
      <c r="G63" s="41"/>
      <c r="H63" s="41"/>
      <c r="I63" s="41"/>
    </row>
    <row r="64" spans="1:9" ht="15.6" x14ac:dyDescent="0.3">
      <c r="B64" s="42" t="s">
        <v>242</v>
      </c>
      <c r="C64" s="42"/>
      <c r="D64" s="21" t="s">
        <v>243</v>
      </c>
      <c r="E64" s="30">
        <f>MIN(E59/(E5*E24),0.02)</f>
        <v>6.7862744533189658E-3</v>
      </c>
      <c r="F64" s="2"/>
      <c r="I64" s="4" t="s">
        <v>244</v>
      </c>
    </row>
    <row r="65" spans="2:9" ht="15.6" x14ac:dyDescent="0.3">
      <c r="B65" s="42" t="s">
        <v>245</v>
      </c>
      <c r="C65" s="42"/>
      <c r="D65" s="21" t="s">
        <v>246</v>
      </c>
      <c r="E65" s="27">
        <f>MIN(1+SQRT(200/E24),2)</f>
        <v>1.6071767407189164</v>
      </c>
      <c r="F65" s="2"/>
      <c r="I65" s="4" t="s">
        <v>247</v>
      </c>
    </row>
    <row r="66" spans="2:9" ht="15.6" x14ac:dyDescent="0.3">
      <c r="B66" s="42" t="s">
        <v>248</v>
      </c>
      <c r="C66" s="42"/>
      <c r="D66" s="21" t="s">
        <v>249</v>
      </c>
      <c r="E66" s="27">
        <f>0.035*E65^1.5*E9^0.5</f>
        <v>0.39059270663185802</v>
      </c>
      <c r="F66" s="2" t="s">
        <v>45</v>
      </c>
      <c r="I66" s="4" t="s">
        <v>250</v>
      </c>
    </row>
    <row r="67" spans="2:9" ht="15.6" x14ac:dyDescent="0.3">
      <c r="B67" s="42" t="s">
        <v>251</v>
      </c>
      <c r="C67" s="42"/>
      <c r="D67" s="21" t="s">
        <v>252</v>
      </c>
      <c r="E67" s="27">
        <f>MAX(Parameters!$E$20*E65*(100*E64*E9)^(1/3),E66)</f>
        <v>0.52661809303732832</v>
      </c>
      <c r="F67" s="2" t="s">
        <v>45</v>
      </c>
      <c r="I67" s="4" t="s">
        <v>253</v>
      </c>
    </row>
    <row r="68" spans="2:9" ht="15.6" x14ac:dyDescent="0.3">
      <c r="B68" s="42" t="s">
        <v>254</v>
      </c>
      <c r="C68" s="42"/>
      <c r="D68" s="21" t="s">
        <v>255</v>
      </c>
      <c r="E68" s="26">
        <f>E67*E5*E24/1000</f>
        <v>114.27612618910024</v>
      </c>
      <c r="F68" s="2" t="s">
        <v>207</v>
      </c>
    </row>
    <row r="69" spans="2:9" ht="15.6" x14ac:dyDescent="0.3">
      <c r="B69" s="49" t="str">
        <f>IF(E46&lt;=E68,"VEd &lt; VRd,c — only minimum shear links are required.","VEd &gt; VRd,c — shear links must be designed.")</f>
        <v>VEd &gt; VRd,c — shear links must be designed.</v>
      </c>
      <c r="C69" s="49"/>
      <c r="D69" s="49"/>
      <c r="E69" s="49"/>
      <c r="F69" s="49"/>
      <c r="G69" s="49"/>
    </row>
    <row r="71" spans="2:9" ht="15.6" x14ac:dyDescent="0.3">
      <c r="B71" s="42" t="s">
        <v>256</v>
      </c>
      <c r="C71" s="42"/>
      <c r="D71" s="21" t="s">
        <v>221</v>
      </c>
      <c r="E71" s="26">
        <f>0.9*E24</f>
        <v>488.25</v>
      </c>
      <c r="F71" s="2" t="s">
        <v>59</v>
      </c>
      <c r="I71" s="4" t="s">
        <v>257</v>
      </c>
    </row>
    <row r="72" spans="2:9" ht="15.6" x14ac:dyDescent="0.3">
      <c r="B72" s="42" t="s">
        <v>258</v>
      </c>
      <c r="C72" s="42"/>
      <c r="D72" s="21" t="s">
        <v>259</v>
      </c>
      <c r="E72" s="27">
        <f>0.6*(1-E9/250)</f>
        <v>0.52800000000000002</v>
      </c>
      <c r="F72" s="2"/>
      <c r="I72" s="4" t="s">
        <v>260</v>
      </c>
    </row>
    <row r="73" spans="2:9" ht="15.6" x14ac:dyDescent="0.3">
      <c r="B73" s="42" t="s">
        <v>261</v>
      </c>
      <c r="C73" s="42"/>
      <c r="D73" s="21" t="s">
        <v>262</v>
      </c>
      <c r="E73" s="26">
        <f>Parameters!$E$19*E5*E71*E72*E29/(2.5+1/2.5)/1000</f>
        <v>604.48717241379313</v>
      </c>
      <c r="F73" s="2" t="s">
        <v>207</v>
      </c>
    </row>
    <row r="74" spans="2:9" ht="15.6" x14ac:dyDescent="0.3">
      <c r="B74" s="42" t="s">
        <v>263</v>
      </c>
      <c r="C74" s="42"/>
      <c r="D74" s="21" t="s">
        <v>262</v>
      </c>
      <c r="E74" s="26">
        <f>Parameters!$E$19*E5*E71*E72*E29/2/1000</f>
        <v>876.50639999999999</v>
      </c>
      <c r="F74" s="2" t="s">
        <v>207</v>
      </c>
      <c r="G74" s="31" t="str">
        <f>IF(E46&lt;=E74,"OK — concrete strut is adequate","NOT OK — increase bw, d or fck")</f>
        <v>OK — concrete strut is adequate</v>
      </c>
    </row>
    <row r="75" spans="2:9" ht="15.6" x14ac:dyDescent="0.3">
      <c r="B75" s="42" t="s">
        <v>264</v>
      </c>
      <c r="C75" s="42"/>
      <c r="D75" s="21" t="s">
        <v>265</v>
      </c>
      <c r="E75" s="28">
        <f>IF(E46&lt;=E73,DEGREES(ATAN(1/Parameters!$E$18)),DEGREES(0.5*ASIN(MIN(1,2*E46*1000/(Parameters!$E$19*E5*E71*E72*E29)))))</f>
        <v>21.801409486351812</v>
      </c>
      <c r="F75" s="2" t="s">
        <v>266</v>
      </c>
      <c r="I75" s="4" t="s">
        <v>267</v>
      </c>
    </row>
    <row r="76" spans="2:9" ht="15.6" x14ac:dyDescent="0.3">
      <c r="B76" s="42" t="s">
        <v>268</v>
      </c>
      <c r="C76" s="42"/>
      <c r="D76" s="21" t="s">
        <v>269</v>
      </c>
      <c r="E76" s="27">
        <f>MIN(Parameters!$E$18,MAX(Parameters!$E$17,1/TAN(RADIANS(E75))))</f>
        <v>2.5</v>
      </c>
      <c r="F76" s="2"/>
      <c r="I76" s="4" t="s">
        <v>270</v>
      </c>
    </row>
    <row r="77" spans="2:9" ht="15.6" x14ac:dyDescent="0.3">
      <c r="B77" s="42" t="s">
        <v>271</v>
      </c>
      <c r="C77" s="42"/>
      <c r="D77" s="21" t="s">
        <v>272</v>
      </c>
      <c r="E77" s="26">
        <f>E15*PI()*E14^2/4</f>
        <v>157.07963267948966</v>
      </c>
      <c r="F77" s="2" t="s">
        <v>228</v>
      </c>
    </row>
    <row r="78" spans="2:9" ht="15.6" x14ac:dyDescent="0.3">
      <c r="B78" s="42" t="s">
        <v>273</v>
      </c>
      <c r="C78" s="42"/>
      <c r="D78" s="21" t="s">
        <v>274</v>
      </c>
      <c r="E78" s="27">
        <f>E46*1000/(E71*E31*E76)</f>
        <v>0.22068129032258063</v>
      </c>
      <c r="F78" s="2" t="s">
        <v>275</v>
      </c>
      <c r="I78" s="4" t="s">
        <v>276</v>
      </c>
    </row>
    <row r="79" spans="2:9" ht="15.6" x14ac:dyDescent="0.3">
      <c r="B79" s="42" t="s">
        <v>277</v>
      </c>
      <c r="C79" s="42"/>
      <c r="D79" s="21" t="s">
        <v>278</v>
      </c>
      <c r="E79" s="27">
        <f>0.08*SQRT(E9)/E16*E5</f>
        <v>0.35054243680330632</v>
      </c>
      <c r="F79" s="2" t="s">
        <v>275</v>
      </c>
      <c r="I79" s="4" t="s">
        <v>279</v>
      </c>
    </row>
    <row r="80" spans="2:9" ht="15.6" x14ac:dyDescent="0.3">
      <c r="B80" s="42" t="s">
        <v>280</v>
      </c>
      <c r="C80" s="42"/>
      <c r="D80" s="21" t="s">
        <v>281</v>
      </c>
      <c r="E80" s="26">
        <f>E77/MAX(E78,E79)</f>
        <v>448.10446949574032</v>
      </c>
      <c r="F80" s="2" t="s">
        <v>59</v>
      </c>
    </row>
    <row r="81" spans="1:9" ht="15.6" x14ac:dyDescent="0.3">
      <c r="B81" s="42" t="s">
        <v>282</v>
      </c>
      <c r="C81" s="42"/>
      <c r="D81" s="21" t="s">
        <v>283</v>
      </c>
      <c r="E81" s="26">
        <f>0.75*E24</f>
        <v>406.875</v>
      </c>
      <c r="F81" s="2" t="s">
        <v>59</v>
      </c>
      <c r="I81" s="4" t="s">
        <v>284</v>
      </c>
    </row>
    <row r="82" spans="1:9" ht="15.6" x14ac:dyDescent="0.3">
      <c r="B82" s="42" t="s">
        <v>285</v>
      </c>
      <c r="C82" s="42"/>
      <c r="D82" s="21" t="s">
        <v>286</v>
      </c>
      <c r="E82" s="25">
        <f>FLOOR(MIN(E80,E81),25)</f>
        <v>400</v>
      </c>
      <c r="F82" s="2" t="s">
        <v>287</v>
      </c>
    </row>
    <row r="83" spans="1:9" ht="15.6" x14ac:dyDescent="0.3">
      <c r="B83" s="42" t="s">
        <v>288</v>
      </c>
      <c r="C83" s="42"/>
      <c r="D83" s="21" t="s">
        <v>289</v>
      </c>
      <c r="E83" s="26">
        <f>E77/E82*E71*E31*E76/1000</f>
        <v>208.40796373848053</v>
      </c>
      <c r="F83" s="2" t="s">
        <v>207</v>
      </c>
      <c r="G83" s="31" t="str">
        <f>IF(E83&gt;=E46,"OK — VRd,s ≥ VEd","NOT OK — reduce the link spacing")</f>
        <v>OK — VRd,s ≥ VEd</v>
      </c>
    </row>
    <row r="84" spans="1:9" ht="15.6" x14ac:dyDescent="0.3">
      <c r="B84" s="42" t="s">
        <v>290</v>
      </c>
      <c r="C84" s="42"/>
      <c r="D84" s="21" t="s">
        <v>291</v>
      </c>
      <c r="E84" s="26">
        <f>0.5*E46*E76</f>
        <v>146.39625000000001</v>
      </c>
      <c r="F84" s="2" t="s">
        <v>207</v>
      </c>
      <c r="I84" s="4" t="s">
        <v>292</v>
      </c>
    </row>
    <row r="86" spans="1:9" ht="15.6" x14ac:dyDescent="0.3">
      <c r="A86" s="41" t="s">
        <v>293</v>
      </c>
      <c r="B86" s="41"/>
      <c r="C86" s="41"/>
      <c r="D86" s="41"/>
      <c r="E86" s="41"/>
      <c r="F86" s="41"/>
      <c r="G86" s="41"/>
      <c r="H86" s="41"/>
      <c r="I86" s="41"/>
    </row>
    <row r="87" spans="1:9" ht="31.2" x14ac:dyDescent="0.3">
      <c r="B87" s="42" t="s">
        <v>96</v>
      </c>
      <c r="C87" s="42"/>
      <c r="D87" s="21" t="s">
        <v>62</v>
      </c>
      <c r="E87" s="32" t="s">
        <v>98</v>
      </c>
      <c r="F87" s="2"/>
    </row>
    <row r="88" spans="1:9" ht="15.6" x14ac:dyDescent="0.3">
      <c r="B88" s="42" t="s">
        <v>294</v>
      </c>
      <c r="C88" s="42"/>
      <c r="D88" s="21" t="s">
        <v>97</v>
      </c>
      <c r="E88" s="28">
        <f>VLOOKUP(E87,Parameters!$B$60:$C$64,2,FALSE())</f>
        <v>1</v>
      </c>
      <c r="F88" s="2"/>
      <c r="I88" s="4" t="s">
        <v>295</v>
      </c>
    </row>
    <row r="89" spans="1:9" ht="15.6" x14ac:dyDescent="0.3">
      <c r="B89" s="42" t="s">
        <v>296</v>
      </c>
      <c r="C89" s="42"/>
      <c r="D89" s="21" t="s">
        <v>297</v>
      </c>
      <c r="E89" s="33">
        <f>SQRT(E9)/1000</f>
        <v>5.4772255750516613E-3</v>
      </c>
      <c r="F89" s="2"/>
      <c r="I89" s="4" t="s">
        <v>298</v>
      </c>
    </row>
    <row r="90" spans="1:9" ht="15.6" x14ac:dyDescent="0.3">
      <c r="B90" s="42" t="s">
        <v>299</v>
      </c>
      <c r="C90" s="42"/>
      <c r="D90" s="21" t="s">
        <v>300</v>
      </c>
      <c r="E90" s="33">
        <f>MAX(E56,E57)/(E5*E24)</f>
        <v>5.5471979414130962E-3</v>
      </c>
      <c r="F90" s="2"/>
    </row>
    <row r="91" spans="1:9" ht="15.6" x14ac:dyDescent="0.3">
      <c r="B91" s="42" t="s">
        <v>301</v>
      </c>
      <c r="C91" s="42"/>
      <c r="D91" s="21" t="s">
        <v>302</v>
      </c>
      <c r="E91" s="33">
        <v>0</v>
      </c>
      <c r="F91" s="2"/>
    </row>
    <row r="92" spans="1:9" ht="15.6" x14ac:dyDescent="0.3">
      <c r="B92" s="42" t="s">
        <v>303</v>
      </c>
      <c r="C92" s="42"/>
      <c r="D92" s="21" t="s">
        <v>304</v>
      </c>
      <c r="E92" s="28">
        <f>IF(E90&lt;=E89,11+1.5*SQRT(E9)*E89/E90+3.2*SQRT(E9)*(E89/E90-1)^1.5,11+1.5*SQRT(E9)*E89/(E90-E91)+SQRT(E9)/12*SQRT(E91/E90))</f>
        <v>19.112203760397392</v>
      </c>
      <c r="F92" s="2"/>
      <c r="I92" s="4" t="s">
        <v>305</v>
      </c>
    </row>
    <row r="93" spans="1:9" ht="15.6" x14ac:dyDescent="0.3">
      <c r="B93" s="42" t="s">
        <v>306</v>
      </c>
      <c r="C93" s="42"/>
      <c r="D93" s="21" t="s">
        <v>307</v>
      </c>
      <c r="E93" s="29">
        <v>1</v>
      </c>
      <c r="F93" s="2"/>
      <c r="I93" s="4" t="s">
        <v>308</v>
      </c>
    </row>
    <row r="94" spans="1:9" ht="15.6" x14ac:dyDescent="0.3">
      <c r="B94" s="42" t="s">
        <v>309</v>
      </c>
      <c r="C94" s="42"/>
      <c r="D94" s="21" t="s">
        <v>62</v>
      </c>
      <c r="E94" s="24" t="s">
        <v>310</v>
      </c>
      <c r="F94" s="2"/>
      <c r="I94" s="4" t="s">
        <v>311</v>
      </c>
    </row>
    <row r="95" spans="1:9" ht="15.6" x14ac:dyDescent="0.3">
      <c r="B95" s="42" t="s">
        <v>312</v>
      </c>
      <c r="C95" s="42"/>
      <c r="D95" s="21" t="s">
        <v>313</v>
      </c>
      <c r="E95" s="27">
        <f>IF(AND(E94="Yes",E26&gt;7),7/E26,1)</f>
        <v>1</v>
      </c>
      <c r="F95" s="2"/>
      <c r="I95" s="4" t="s">
        <v>314</v>
      </c>
    </row>
    <row r="96" spans="1:9" ht="15.6" x14ac:dyDescent="0.3">
      <c r="B96" s="42" t="s">
        <v>315</v>
      </c>
      <c r="C96" s="42"/>
      <c r="D96" s="21" t="s">
        <v>316</v>
      </c>
      <c r="E96" s="27">
        <f>MIN(E59/MAX(E56,E57),Parameters!$E$27)</f>
        <v>1.2233698030956197</v>
      </c>
      <c r="F96" s="2"/>
      <c r="I96" s="4" t="s">
        <v>317</v>
      </c>
    </row>
    <row r="97" spans="1:9" ht="15.6" x14ac:dyDescent="0.3">
      <c r="B97" s="42" t="s">
        <v>318</v>
      </c>
      <c r="C97" s="42"/>
      <c r="D97" s="21" t="s">
        <v>319</v>
      </c>
      <c r="E97" s="28">
        <f>E88*E92*E93*E95*E96</f>
        <v>23.38129295108072</v>
      </c>
      <c r="F97" s="2"/>
    </row>
    <row r="98" spans="1:9" ht="15.6" x14ac:dyDescent="0.3">
      <c r="B98" s="42" t="s">
        <v>320</v>
      </c>
      <c r="C98" s="42"/>
      <c r="D98" s="21" t="s">
        <v>321</v>
      </c>
      <c r="E98" s="28">
        <f>E26*1000/E24</f>
        <v>13.456221198156681</v>
      </c>
      <c r="F98" s="2"/>
      <c r="G98" s="31" t="str">
        <f>IF(E98&lt;=E97,"OK — deflection is satisfied by the span/depth rule","NOT OK — increase h, increase As,prov or carry out a rigorous calculation")</f>
        <v>OK — deflection is satisfied by the span/depth rule</v>
      </c>
    </row>
    <row r="100" spans="1:9" ht="15.6" x14ac:dyDescent="0.3">
      <c r="A100" s="41" t="s">
        <v>322</v>
      </c>
      <c r="B100" s="41"/>
      <c r="C100" s="41"/>
      <c r="D100" s="41"/>
      <c r="E100" s="41"/>
      <c r="F100" s="41"/>
      <c r="G100" s="41"/>
      <c r="H100" s="41"/>
      <c r="I100" s="41"/>
    </row>
    <row r="101" spans="1:9" ht="15.6" x14ac:dyDescent="0.3">
      <c r="B101" s="42" t="s">
        <v>323</v>
      </c>
      <c r="C101" s="42"/>
      <c r="D101" s="21" t="s">
        <v>62</v>
      </c>
      <c r="E101" s="27">
        <f>(E41+E39*E38)/E42</f>
        <v>0.49494949494949497</v>
      </c>
      <c r="F101" s="2"/>
    </row>
    <row r="102" spans="1:9" ht="15.6" x14ac:dyDescent="0.3">
      <c r="B102" s="42" t="s">
        <v>324</v>
      </c>
      <c r="C102" s="42"/>
      <c r="D102" s="21" t="s">
        <v>325</v>
      </c>
      <c r="E102" s="26">
        <f>E30*MAX(E56,E57)/E59*E101/E43</f>
        <v>175.90382895033505</v>
      </c>
      <c r="F102" s="2" t="s">
        <v>45</v>
      </c>
      <c r="I102" s="4" t="s">
        <v>326</v>
      </c>
    </row>
    <row r="103" spans="1:9" ht="15.6" x14ac:dyDescent="0.3">
      <c r="B103" s="42" t="s">
        <v>327</v>
      </c>
      <c r="C103" s="42"/>
      <c r="D103" s="21" t="s">
        <v>328</v>
      </c>
      <c r="E103" s="25">
        <f>MEDIAN(50,300-(E102-160)*1.25,300)</f>
        <v>280.1202138120812</v>
      </c>
      <c r="F103" s="2" t="s">
        <v>59</v>
      </c>
      <c r="I103" s="4" t="s">
        <v>329</v>
      </c>
    </row>
    <row r="104" spans="1:9" ht="15.6" x14ac:dyDescent="0.3">
      <c r="B104" s="42" t="s">
        <v>330</v>
      </c>
      <c r="C104" s="42"/>
      <c r="D104" s="21" t="s">
        <v>281</v>
      </c>
      <c r="E104" s="26">
        <f>IF(E13&gt;1,(E5-2*E23-2*E14-E12)/(E13-1),0)</f>
        <v>142.5</v>
      </c>
      <c r="F104" s="2" t="s">
        <v>59</v>
      </c>
      <c r="G104" s="31" t="str">
        <f>IF(E104&lt;=E103,"OK — crack width is controlled by bar spacing","NOT OK — use more, smaller bars")</f>
        <v>OK — crack width is controlled by bar spacing</v>
      </c>
    </row>
    <row r="106" spans="1:9" ht="15.6" x14ac:dyDescent="0.3">
      <c r="A106" s="41" t="s">
        <v>331</v>
      </c>
      <c r="B106" s="41"/>
      <c r="C106" s="41"/>
      <c r="D106" s="41"/>
      <c r="E106" s="41"/>
      <c r="F106" s="41"/>
      <c r="G106" s="41"/>
      <c r="H106" s="41"/>
      <c r="I106" s="41"/>
    </row>
    <row r="107" spans="1:9" ht="15.6" x14ac:dyDescent="0.3">
      <c r="B107" s="42" t="s">
        <v>332</v>
      </c>
      <c r="C107" s="42"/>
      <c r="D107" s="21" t="s">
        <v>62</v>
      </c>
      <c r="E107" s="24" t="s">
        <v>333</v>
      </c>
      <c r="F107" s="2"/>
      <c r="I107" s="4" t="s">
        <v>334</v>
      </c>
    </row>
    <row r="108" spans="1:9" ht="15.6" x14ac:dyDescent="0.3">
      <c r="B108" s="42" t="s">
        <v>335</v>
      </c>
      <c r="C108" s="42"/>
      <c r="D108" s="21" t="s">
        <v>336</v>
      </c>
      <c r="E108" s="28">
        <f>IF(E107="Good",1,0.7)</f>
        <v>1</v>
      </c>
      <c r="F108" s="2"/>
    </row>
    <row r="109" spans="1:9" ht="15.6" x14ac:dyDescent="0.3">
      <c r="B109" s="42" t="s">
        <v>337</v>
      </c>
      <c r="C109" s="42"/>
      <c r="D109" s="21" t="s">
        <v>338</v>
      </c>
      <c r="E109" s="28">
        <f>IF(E12&lt;=32,1,(132-E12)/100)</f>
        <v>1</v>
      </c>
      <c r="F109" s="2"/>
    </row>
    <row r="110" spans="1:9" ht="15.6" x14ac:dyDescent="0.3">
      <c r="B110" s="42" t="s">
        <v>339</v>
      </c>
      <c r="C110" s="42"/>
      <c r="D110" s="21" t="s">
        <v>340</v>
      </c>
      <c r="E110" s="28">
        <f>2.25*E108*E109*E34</f>
        <v>3.0412915615077329</v>
      </c>
      <c r="F110" s="2" t="s">
        <v>45</v>
      </c>
      <c r="I110" s="4" t="s">
        <v>341</v>
      </c>
    </row>
    <row r="111" spans="1:9" ht="15.6" x14ac:dyDescent="0.3">
      <c r="B111" s="42" t="s">
        <v>342</v>
      </c>
      <c r="C111" s="42"/>
      <c r="D111" s="21" t="s">
        <v>343</v>
      </c>
      <c r="E111" s="26">
        <f>E30*MAX(E56,E57)/E59</f>
        <v>355.397531960881</v>
      </c>
      <c r="F111" s="2" t="s">
        <v>45</v>
      </c>
    </row>
    <row r="112" spans="1:9" ht="15.6" x14ac:dyDescent="0.3">
      <c r="B112" s="42" t="s">
        <v>344</v>
      </c>
      <c r="C112" s="42"/>
      <c r="D112" s="21" t="s">
        <v>345</v>
      </c>
      <c r="E112" s="25">
        <f>E12/4*E111/E110</f>
        <v>730.35897079670985</v>
      </c>
      <c r="F112" s="2" t="s">
        <v>59</v>
      </c>
      <c r="I112" s="4" t="s">
        <v>346</v>
      </c>
    </row>
    <row r="113" spans="1:9" ht="15.6" x14ac:dyDescent="0.3">
      <c r="B113" s="42" t="s">
        <v>347</v>
      </c>
      <c r="C113" s="42"/>
      <c r="D113" s="21" t="s">
        <v>348</v>
      </c>
      <c r="E113" s="29">
        <v>1</v>
      </c>
      <c r="F113" s="2"/>
      <c r="I113" s="4" t="s">
        <v>349</v>
      </c>
    </row>
    <row r="114" spans="1:9" ht="15.6" x14ac:dyDescent="0.3">
      <c r="B114" s="42" t="s">
        <v>350</v>
      </c>
      <c r="C114" s="42"/>
      <c r="D114" s="21" t="s">
        <v>351</v>
      </c>
      <c r="E114" s="25">
        <f>MAX(0.3*E112,10*E12,100)</f>
        <v>250</v>
      </c>
      <c r="F114" s="2" t="s">
        <v>59</v>
      </c>
      <c r="I114" s="4" t="s">
        <v>352</v>
      </c>
    </row>
    <row r="115" spans="1:9" ht="15.6" x14ac:dyDescent="0.3">
      <c r="B115" s="42" t="s">
        <v>353</v>
      </c>
      <c r="C115" s="42"/>
      <c r="D115" s="21" t="s">
        <v>354</v>
      </c>
      <c r="E115" s="25">
        <f>MAX(E113*E112,E114)</f>
        <v>730.35897079670985</v>
      </c>
      <c r="F115" s="2" t="s">
        <v>59</v>
      </c>
    </row>
    <row r="116" spans="1:9" ht="15.6" x14ac:dyDescent="0.3">
      <c r="B116" s="42" t="s">
        <v>355</v>
      </c>
      <c r="C116" s="42"/>
      <c r="D116" s="21" t="s">
        <v>356</v>
      </c>
      <c r="E116" s="29">
        <v>1.5</v>
      </c>
      <c r="F116" s="2"/>
      <c r="I116" s="4" t="s">
        <v>357</v>
      </c>
    </row>
    <row r="117" spans="1:9" ht="15.6" x14ac:dyDescent="0.3">
      <c r="B117" s="42" t="s">
        <v>358</v>
      </c>
      <c r="C117" s="42"/>
      <c r="D117" s="21" t="s">
        <v>359</v>
      </c>
      <c r="E117" s="25">
        <f>MAX(E116*E113*E112,MAX(0.3*E116*E112,15*E12,200))</f>
        <v>1095.5384561950648</v>
      </c>
      <c r="F117" s="2" t="s">
        <v>59</v>
      </c>
      <c r="I117" s="4" t="s">
        <v>360</v>
      </c>
    </row>
    <row r="119" spans="1:9" ht="15.6" x14ac:dyDescent="0.3">
      <c r="A119" s="41" t="s">
        <v>361</v>
      </c>
      <c r="B119" s="41"/>
      <c r="C119" s="41"/>
      <c r="D119" s="41"/>
      <c r="E119" s="41"/>
      <c r="F119" s="41"/>
      <c r="G119" s="41"/>
      <c r="H119" s="41"/>
      <c r="I119" s="41"/>
    </row>
    <row r="120" spans="1:9" ht="15.6" x14ac:dyDescent="0.3">
      <c r="B120" s="48" t="str">
        <f>IF(AND(LEFT(G59,2)="OK",LEFT(G60,2)="OK",LEFT(G74,2)="OK",LEFT(G83,2)="OK",LEFT(G98,2)="OK",LEFT(G104,2)="OK"),"ALL CHECKS SATISFIED. The section as detailed is adequate.","ONE OR MORE CHECKS FAILED — see the blue messages above.")</f>
        <v>ALL CHECKS SATISFIED. The section as detailed is adequate.</v>
      </c>
      <c r="C120" s="48"/>
      <c r="D120" s="48"/>
      <c r="E120" s="48"/>
      <c r="F120" s="48"/>
      <c r="G120" s="48"/>
    </row>
    <row r="122" spans="1:9" ht="15.6" x14ac:dyDescent="0.3">
      <c r="A122" s="41" t="s">
        <v>362</v>
      </c>
      <c r="B122" s="41"/>
      <c r="C122" s="41"/>
      <c r="D122" s="41"/>
      <c r="E122" s="41"/>
      <c r="F122" s="41"/>
      <c r="G122" s="41"/>
      <c r="H122" s="41"/>
      <c r="I122" s="41"/>
    </row>
    <row r="123" spans="1:9" ht="15.6" x14ac:dyDescent="0.3">
      <c r="B123" s="45" t="s">
        <v>363</v>
      </c>
      <c r="C123" s="45"/>
      <c r="D123" s="45"/>
      <c r="E123" s="34">
        <f>E5</f>
        <v>400</v>
      </c>
      <c r="F123" s="35" t="s">
        <v>59</v>
      </c>
    </row>
    <row r="124" spans="1:9" ht="15.6" x14ac:dyDescent="0.3">
      <c r="B124" s="45" t="s">
        <v>364</v>
      </c>
      <c r="C124" s="45"/>
      <c r="D124" s="45"/>
      <c r="E124" s="34">
        <f>E6</f>
        <v>600</v>
      </c>
      <c r="F124" s="35" t="s">
        <v>59</v>
      </c>
    </row>
    <row r="125" spans="1:9" ht="15.6" x14ac:dyDescent="0.3">
      <c r="B125" s="45" t="s">
        <v>365</v>
      </c>
      <c r="C125" s="45"/>
      <c r="D125" s="45"/>
      <c r="E125" s="36">
        <f>E24</f>
        <v>542.5</v>
      </c>
      <c r="F125" s="35" t="s">
        <v>59</v>
      </c>
    </row>
    <row r="126" spans="1:9" ht="15.6" x14ac:dyDescent="0.3">
      <c r="B126" s="45" t="s">
        <v>366</v>
      </c>
      <c r="C126" s="45"/>
      <c r="D126" s="45"/>
      <c r="E126" s="34">
        <f>E23</f>
        <v>35</v>
      </c>
      <c r="F126" s="35" t="s">
        <v>59</v>
      </c>
    </row>
    <row r="127" spans="1:9" ht="15.6" x14ac:dyDescent="0.3">
      <c r="B127" s="45" t="s">
        <v>367</v>
      </c>
      <c r="C127" s="45"/>
      <c r="D127" s="45"/>
      <c r="E127" s="46" t="str">
        <f>"C"&amp;E9&amp;"/"&amp;VLOOKUP(E9,Parameters!$B$38:$G$46,2,FALSE())&amp;"  with  B"&amp;E10</f>
        <v>C30/37  with  B500</v>
      </c>
      <c r="F127" s="47"/>
    </row>
    <row r="128" spans="1:9" ht="34.799999999999997" customHeight="1" x14ac:dyDescent="0.3">
      <c r="B128" s="45" t="s">
        <v>368</v>
      </c>
      <c r="C128" s="45"/>
      <c r="D128" s="45"/>
      <c r="E128" s="46" t="str">
        <f>E13&amp;" H"&amp;E12&amp;"  (As,prov = "&amp;ROUND(E59,0)&amp;" mm²)"</f>
        <v>3 H25  (As,prov = 1473 mm²)</v>
      </c>
      <c r="F128" s="47"/>
    </row>
    <row r="129" spans="2:6" ht="31.2" customHeight="1" x14ac:dyDescent="0.3">
      <c r="B129" s="45" t="s">
        <v>369</v>
      </c>
      <c r="C129" s="45"/>
      <c r="D129" s="45"/>
      <c r="E129" s="46" t="str">
        <f>"H"&amp;E14&amp;" — "&amp;E15&amp;" legs @ "&amp;E82&amp;" mm centres"</f>
        <v>H10 — 2 legs @ 400 mm centres</v>
      </c>
      <c r="F129" s="47"/>
    </row>
    <row r="130" spans="2:6" ht="15.6" x14ac:dyDescent="0.3">
      <c r="B130" s="45" t="s">
        <v>370</v>
      </c>
      <c r="C130" s="45"/>
      <c r="D130" s="45"/>
      <c r="E130" s="34">
        <f>E115</f>
        <v>730.35897079670985</v>
      </c>
      <c r="F130" s="35" t="s">
        <v>59</v>
      </c>
    </row>
    <row r="131" spans="2:6" ht="15.6" x14ac:dyDescent="0.3">
      <c r="B131" s="45" t="s">
        <v>371</v>
      </c>
      <c r="C131" s="45"/>
      <c r="D131" s="45"/>
      <c r="E131" s="34">
        <f>E117</f>
        <v>1095.5384561950648</v>
      </c>
      <c r="F131" s="35" t="s">
        <v>59</v>
      </c>
    </row>
  </sheetData>
  <mergeCells count="120">
    <mergeCell ref="B8:C8"/>
    <mergeCell ref="B9:C9"/>
    <mergeCell ref="B10:C10"/>
    <mergeCell ref="B11:C11"/>
    <mergeCell ref="B12:C12"/>
    <mergeCell ref="B13:C13"/>
    <mergeCell ref="A1:I1"/>
    <mergeCell ref="A2:I2"/>
    <mergeCell ref="A4:I4"/>
    <mergeCell ref="B5:C5"/>
    <mergeCell ref="B6:C6"/>
    <mergeCell ref="B7:C7"/>
    <mergeCell ref="B21:C21"/>
    <mergeCell ref="B22:C22"/>
    <mergeCell ref="B23:C23"/>
    <mergeCell ref="B24:C24"/>
    <mergeCell ref="B25:C25"/>
    <mergeCell ref="B26:C26"/>
    <mergeCell ref="B14:C14"/>
    <mergeCell ref="B15:C15"/>
    <mergeCell ref="B16:C16"/>
    <mergeCell ref="B17:C17"/>
    <mergeCell ref="A19:I19"/>
    <mergeCell ref="B20:C20"/>
    <mergeCell ref="B34:C34"/>
    <mergeCell ref="A36:I36"/>
    <mergeCell ref="B37:C37"/>
    <mergeCell ref="B38:C38"/>
    <mergeCell ref="B39:C39"/>
    <mergeCell ref="B40:C40"/>
    <mergeCell ref="A28:I28"/>
    <mergeCell ref="B29:C29"/>
    <mergeCell ref="B30:C30"/>
    <mergeCell ref="B31:C31"/>
    <mergeCell ref="B32:C32"/>
    <mergeCell ref="B33:C33"/>
    <mergeCell ref="A48:I48"/>
    <mergeCell ref="B49:C49"/>
    <mergeCell ref="B50:C50"/>
    <mergeCell ref="B51:C51"/>
    <mergeCell ref="B52:G52"/>
    <mergeCell ref="B54:C54"/>
    <mergeCell ref="B41:C41"/>
    <mergeCell ref="B42:C42"/>
    <mergeCell ref="B43:C43"/>
    <mergeCell ref="B44:C44"/>
    <mergeCell ref="B45:C45"/>
    <mergeCell ref="B46:C46"/>
    <mergeCell ref="A63:I63"/>
    <mergeCell ref="B64:C64"/>
    <mergeCell ref="B65:C65"/>
    <mergeCell ref="B66:C66"/>
    <mergeCell ref="B67:C67"/>
    <mergeCell ref="B68:C68"/>
    <mergeCell ref="B55:C55"/>
    <mergeCell ref="B56:C56"/>
    <mergeCell ref="B57:C57"/>
    <mergeCell ref="B58:C58"/>
    <mergeCell ref="B59:C59"/>
    <mergeCell ref="B60:C60"/>
    <mergeCell ref="B76:C76"/>
    <mergeCell ref="B77:C77"/>
    <mergeCell ref="B78:C78"/>
    <mergeCell ref="B79:C79"/>
    <mergeCell ref="B80:C80"/>
    <mergeCell ref="B81:C81"/>
    <mergeCell ref="B69:G69"/>
    <mergeCell ref="B71:C71"/>
    <mergeCell ref="B72:C72"/>
    <mergeCell ref="B73:C73"/>
    <mergeCell ref="B74:C74"/>
    <mergeCell ref="B75:C75"/>
    <mergeCell ref="B89:C89"/>
    <mergeCell ref="B90:C90"/>
    <mergeCell ref="B91:C91"/>
    <mergeCell ref="B92:C92"/>
    <mergeCell ref="B93:C93"/>
    <mergeCell ref="B94:C94"/>
    <mergeCell ref="B82:C82"/>
    <mergeCell ref="B83:C83"/>
    <mergeCell ref="B84:C84"/>
    <mergeCell ref="A86:I86"/>
    <mergeCell ref="B87:C87"/>
    <mergeCell ref="B88:C88"/>
    <mergeCell ref="B102:C102"/>
    <mergeCell ref="B103:C103"/>
    <mergeCell ref="B104:C104"/>
    <mergeCell ref="A106:I106"/>
    <mergeCell ref="B107:C107"/>
    <mergeCell ref="B108:C108"/>
    <mergeCell ref="B95:C95"/>
    <mergeCell ref="B96:C96"/>
    <mergeCell ref="B97:C97"/>
    <mergeCell ref="B98:C98"/>
    <mergeCell ref="A100:I100"/>
    <mergeCell ref="B101:C101"/>
    <mergeCell ref="B115:C115"/>
    <mergeCell ref="B116:C116"/>
    <mergeCell ref="B117:C117"/>
    <mergeCell ref="A119:I119"/>
    <mergeCell ref="B120:G120"/>
    <mergeCell ref="A122:I122"/>
    <mergeCell ref="B109:C109"/>
    <mergeCell ref="B110:C110"/>
    <mergeCell ref="B111:C111"/>
    <mergeCell ref="B112:C112"/>
    <mergeCell ref="B113:C113"/>
    <mergeCell ref="B114:C114"/>
    <mergeCell ref="B128:D128"/>
    <mergeCell ref="E128:F128"/>
    <mergeCell ref="B129:D129"/>
    <mergeCell ref="E129:F129"/>
    <mergeCell ref="B130:D130"/>
    <mergeCell ref="B131:D131"/>
    <mergeCell ref="B123:D123"/>
    <mergeCell ref="B124:D124"/>
    <mergeCell ref="B125:D125"/>
    <mergeCell ref="B126:D126"/>
    <mergeCell ref="B127:D127"/>
    <mergeCell ref="E127:F127"/>
  </mergeCells>
  <dataValidations count="6">
    <dataValidation type="list" sqref="E107" xr:uid="{B27B223A-95CD-4B21-B4A8-FD55259C7F88}">
      <formula1>"Good,Poor"</formula1>
      <formula2>0</formula2>
    </dataValidation>
    <dataValidation type="list" sqref="E94" xr:uid="{2AC9986B-FE6A-47A6-A24D-CA1DE4DC100E}">
      <formula1>"Yes,No"</formula1>
      <formula2>0</formula2>
    </dataValidation>
    <dataValidation type="list" sqref="E87" xr:uid="{01F205CF-3448-47B9-AB6F-C147F91FF46E}">
      <formula1>"Simply supported,End span continuous,Interior span,Flat slab,Cantilever"</formula1>
      <formula2>0</formula2>
    </dataValidation>
    <dataValidation type="list" sqref="E11" xr:uid="{345292E6-E01B-4EA1-B444-8FC857770D7F}">
      <formula1>"X0,XC1,XC2/XC3,XC4,XD1/XS1,XD2/XS2,XD3/XS3"</formula1>
      <formula2>0</formula2>
    </dataValidation>
    <dataValidation type="list" sqref="E10 E16" xr:uid="{652C691F-9424-4507-9786-978BCB9A3D66}">
      <formula1>"400,500,600"</formula1>
      <formula2>0</formula2>
    </dataValidation>
    <dataValidation type="list" sqref="E9" xr:uid="{BA4B0F39-FE16-4A1F-A68B-840EDFE5EB08}">
      <formula1>"12,16,20,25,30,35,40,45,50"</formula1>
      <formula2>0</formula2>
    </dataValidation>
  </dataValidations>
  <pageMargins left="0.75" right="0.75" top="1" bottom="1" header="0.511811023622047" footer="0.511811023622047"/>
  <pageSetup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BFBA-8640-415A-AE0F-652CB0854D3E}">
  <dimension ref="A1:B41"/>
  <sheetViews>
    <sheetView showGridLines="0" zoomScaleNormal="100" workbookViewId="0">
      <selection sqref="A1:B1"/>
    </sheetView>
  </sheetViews>
  <sheetFormatPr defaultColWidth="8.6640625" defaultRowHeight="14.4" x14ac:dyDescent="0.3"/>
  <cols>
    <col min="1" max="1" width="4" customWidth="1"/>
    <col min="2" max="2" width="130" customWidth="1"/>
  </cols>
  <sheetData>
    <row r="1" spans="1:2" ht="21" x14ac:dyDescent="0.3">
      <c r="A1" s="43" t="s">
        <v>372</v>
      </c>
      <c r="B1" s="43"/>
    </row>
    <row r="3" spans="1:2" ht="15.6" x14ac:dyDescent="0.3">
      <c r="B3" s="1" t="s">
        <v>373</v>
      </c>
    </row>
    <row r="4" spans="1:2" ht="30" customHeight="1" x14ac:dyDescent="0.3">
      <c r="B4" s="37" t="s">
        <v>374</v>
      </c>
    </row>
    <row r="5" spans="1:2" ht="30" customHeight="1" x14ac:dyDescent="0.3">
      <c r="B5" s="37" t="s">
        <v>375</v>
      </c>
    </row>
    <row r="6" spans="1:2" ht="30" customHeight="1" x14ac:dyDescent="0.3">
      <c r="B6" s="37" t="s">
        <v>376</v>
      </c>
    </row>
    <row r="8" spans="1:2" ht="15.6" x14ac:dyDescent="0.3">
      <c r="B8" s="1" t="s">
        <v>377</v>
      </c>
    </row>
    <row r="9" spans="1:2" ht="30" customHeight="1" x14ac:dyDescent="0.3">
      <c r="B9" s="37" t="s">
        <v>378</v>
      </c>
    </row>
    <row r="10" spans="1:2" ht="30" customHeight="1" x14ac:dyDescent="0.3">
      <c r="B10" s="37" t="s">
        <v>379</v>
      </c>
    </row>
    <row r="11" spans="1:2" ht="30" customHeight="1" x14ac:dyDescent="0.3">
      <c r="B11" s="37" t="s">
        <v>380</v>
      </c>
    </row>
    <row r="13" spans="1:2" ht="15.6" x14ac:dyDescent="0.3">
      <c r="B13" s="1" t="s">
        <v>381</v>
      </c>
    </row>
    <row r="14" spans="1:2" ht="30" customHeight="1" x14ac:dyDescent="0.3">
      <c r="B14" s="37" t="s">
        <v>382</v>
      </c>
    </row>
    <row r="15" spans="1:2" ht="15" customHeight="1" x14ac:dyDescent="0.3">
      <c r="B15" s="37" t="s">
        <v>383</v>
      </c>
    </row>
    <row r="16" spans="1:2" ht="30" customHeight="1" x14ac:dyDescent="0.3">
      <c r="B16" s="37" t="s">
        <v>384</v>
      </c>
    </row>
    <row r="17" spans="2:2" ht="30" customHeight="1" x14ac:dyDescent="0.3">
      <c r="B17" s="37" t="s">
        <v>385</v>
      </c>
    </row>
    <row r="18" spans="2:2" ht="15" customHeight="1" x14ac:dyDescent="0.3">
      <c r="B18" s="37" t="s">
        <v>386</v>
      </c>
    </row>
    <row r="19" spans="2:2" ht="30" customHeight="1" x14ac:dyDescent="0.3">
      <c r="B19" s="37" t="s">
        <v>387</v>
      </c>
    </row>
    <row r="21" spans="2:2" ht="15.6" x14ac:dyDescent="0.3">
      <c r="B21" s="1" t="s">
        <v>388</v>
      </c>
    </row>
    <row r="22" spans="2:2" ht="30" customHeight="1" x14ac:dyDescent="0.3">
      <c r="B22" s="37" t="s">
        <v>389</v>
      </c>
    </row>
    <row r="23" spans="2:2" ht="30" customHeight="1" x14ac:dyDescent="0.3">
      <c r="B23" s="37" t="s">
        <v>390</v>
      </c>
    </row>
    <row r="24" spans="2:2" ht="30" customHeight="1" x14ac:dyDescent="0.3">
      <c r="B24" s="37" t="s">
        <v>391</v>
      </c>
    </row>
    <row r="25" spans="2:2" ht="30" customHeight="1" x14ac:dyDescent="0.3">
      <c r="B25" s="37" t="s">
        <v>392</v>
      </c>
    </row>
    <row r="26" spans="2:2" ht="30" customHeight="1" x14ac:dyDescent="0.3">
      <c r="B26" s="37" t="s">
        <v>393</v>
      </c>
    </row>
    <row r="27" spans="2:2" ht="45" customHeight="1" x14ac:dyDescent="0.3">
      <c r="B27" s="37" t="s">
        <v>394</v>
      </c>
    </row>
    <row r="29" spans="2:2" ht="15.6" x14ac:dyDescent="0.3">
      <c r="B29" s="1" t="s">
        <v>395</v>
      </c>
    </row>
    <row r="30" spans="2:2" ht="15" customHeight="1" x14ac:dyDescent="0.3">
      <c r="B30" s="37" t="s">
        <v>396</v>
      </c>
    </row>
    <row r="31" spans="2:2" ht="15" customHeight="1" x14ac:dyDescent="0.3">
      <c r="B31" s="37" t="s">
        <v>397</v>
      </c>
    </row>
    <row r="32" spans="2:2" ht="30" customHeight="1" x14ac:dyDescent="0.3">
      <c r="B32" s="37" t="s">
        <v>398</v>
      </c>
    </row>
    <row r="33" spans="2:2" ht="30" customHeight="1" x14ac:dyDescent="0.3">
      <c r="B33" s="37" t="s">
        <v>399</v>
      </c>
    </row>
    <row r="35" spans="2:2" ht="15.6" x14ac:dyDescent="0.3">
      <c r="B35" s="1" t="s">
        <v>400</v>
      </c>
    </row>
    <row r="36" spans="2:2" ht="30" customHeight="1" x14ac:dyDescent="0.3">
      <c r="B36" s="37" t="s">
        <v>401</v>
      </c>
    </row>
    <row r="37" spans="2:2" ht="15" customHeight="1" x14ac:dyDescent="0.3">
      <c r="B37" s="37" t="s">
        <v>402</v>
      </c>
    </row>
    <row r="38" spans="2:2" ht="15" customHeight="1" x14ac:dyDescent="0.3">
      <c r="B38" s="37" t="s">
        <v>403</v>
      </c>
    </row>
    <row r="39" spans="2:2" ht="15" customHeight="1" x14ac:dyDescent="0.3">
      <c r="B39" s="37" t="s">
        <v>404</v>
      </c>
    </row>
    <row r="40" spans="2:2" ht="15" customHeight="1" x14ac:dyDescent="0.3">
      <c r="B40" s="37" t="s">
        <v>405</v>
      </c>
    </row>
    <row r="41" spans="2:2" ht="15" customHeight="1" x14ac:dyDescent="0.3">
      <c r="B41" s="37" t="s">
        <v>406</v>
      </c>
    </row>
  </sheetData>
  <mergeCells count="1">
    <mergeCell ref="A1:B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Parameters</vt:lpstr>
      <vt:lpstr>EC2 Beam SR</vt:lpstr>
      <vt:lpstr>Notes &amp; 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Devang Bhujbal</dc:creator>
  <cp:lastModifiedBy>Devang Bhujbal</cp:lastModifiedBy>
  <dcterms:created xsi:type="dcterms:W3CDTF">2026-09-09T09:29:35Z</dcterms:created>
  <dcterms:modified xsi:type="dcterms:W3CDTF">2026-09-09T09:30:18Z</dcterms:modified>
</cp:coreProperties>
</file>